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d.docs.live.net/cf803295690d9b40/2. Career Biz/1.1 Fund Accounting and Reporting/1. Model/"/>
    </mc:Choice>
  </mc:AlternateContent>
  <xr:revisionPtr revIDLastSave="93" documentId="13_ncr:1_{E71EC8C6-F01A-4F6A-AC49-D3204EC60042}" xr6:coauthVersionLast="47" xr6:coauthVersionMax="47" xr10:uidLastSave="{97D6FD3B-4D37-472C-8CE0-812BD3CB23DA}"/>
  <bookViews>
    <workbookView xWindow="57480" yWindow="-120" windowWidth="29040" windowHeight="15720" tabRatio="881" firstSheet="11" activeTab="15" xr2:uid="{00000000-000D-0000-FFFF-FFFF00000000}"/>
  </bookViews>
  <sheets>
    <sheet name="TOC" sheetId="3" r:id="rId1"/>
    <sheet name="Dashboard" sheetId="23" r:id="rId2"/>
    <sheet name="Data" sheetId="30" r:id="rId3"/>
    <sheet name="Business Plan" sheetId="20" r:id="rId4"/>
    <sheet name="Budget" sheetId="24" r:id="rId5"/>
    <sheet name="E-Commerce Loan" sheetId="28" r:id="rId6"/>
    <sheet name="Apartment Complex Loan" sheetId="27" r:id="rId7"/>
    <sheet name="FS Cover" sheetId="2" state="hidden" r:id="rId8"/>
    <sheet name="Journal Entries" sheetId="13" r:id="rId9"/>
    <sheet name="Trial Balance" sheetId="6" r:id="rId10"/>
    <sheet name="Balance Sheet" sheetId="7" r:id="rId11"/>
    <sheet name="Income Statement" sheetId="8" r:id="rId12"/>
    <sheet name="Changes in Partners' Capital" sheetId="16" r:id="rId13"/>
    <sheet name="Cash Flow Statement" sheetId="15" r:id="rId14"/>
    <sheet name="Schedule of Investments" sheetId="9" r:id="rId15"/>
    <sheet name="Investor Allocations" sheetId="25" r:id="rId16"/>
    <sheet name="Investor Capital Accounts" sheetId="17" r:id="rId17"/>
    <sheet name="Chart of Accounts" sheetId="4" r:id="rId18"/>
    <sheet name="Bank Reconciliation" sheetId="14" r:id="rId19"/>
    <sheet name="Glossary" sheetId="21" r:id="rId20"/>
    <sheet name="Change Log" sheetId="22" r:id="rId21"/>
  </sheets>
  <externalReferences>
    <externalReference r:id="rId22"/>
  </externalReferences>
  <definedNames>
    <definedName name="_xlnm._FilterDatabase" localSheetId="18" hidden="1">'Bank Reconciliation'!$B$2:$R$107</definedName>
    <definedName name="_xlnm._FilterDatabase" localSheetId="4" hidden="1">Budget!$B$5:$BQ$76</definedName>
    <definedName name="_xlnm._FilterDatabase" localSheetId="17" hidden="1">'Chart of Accounts'!$B$3:$L$76</definedName>
    <definedName name="_xlnm._FilterDatabase" localSheetId="8" hidden="1">'Journal Entries'!$A$4:$L$291</definedName>
    <definedName name="_xlnm._FilterDatabase" localSheetId="9" hidden="1">'Trial Balance'!$A$9:$BQ$82</definedName>
    <definedName name="_xlnm.Print_Area" localSheetId="10">'Balance Sheet'!$A$1:$N$63</definedName>
    <definedName name="_xlnm.Print_Area" localSheetId="3">'Business Plan'!$A$1:$H$166</definedName>
    <definedName name="_xlnm.Print_Area" localSheetId="13">'Cash Flow Statement'!$A$1:$J$36</definedName>
    <definedName name="_xlnm.Print_Area" localSheetId="12">'Changes in Partners'' Capital'!$A$1:$J$23</definedName>
    <definedName name="_xlnm.Print_Area" localSheetId="7">'FS Cover'!$A$1:$K$46</definedName>
    <definedName name="_xlnm.Print_Area" localSheetId="11">'Income Statement'!$A$1:$N$37</definedName>
    <definedName name="_xlnm.Print_Area" localSheetId="15">'Investor Allocations'!$A$1:$K$47</definedName>
    <definedName name="_xlnm.Print_Area" localSheetId="16">'Investor Capital Accounts'!$A$1:$F$50</definedName>
    <definedName name="_xlnm.Print_Area" localSheetId="14">'Schedule of Investments'!$A$1:$R$20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16" l="1"/>
  <c r="C16" i="8" l="1" a="1"/>
  <c r="C16" i="8" s="1"/>
  <c r="P12" i="30"/>
  <c r="C4" i="7"/>
  <c r="H3" i="14" l="1"/>
  <c r="I87" i="14"/>
  <c r="I98" i="14"/>
  <c r="I9" i="14"/>
  <c r="I13" i="14"/>
  <c r="I19" i="14"/>
  <c r="I27" i="14"/>
  <c r="I37" i="14"/>
  <c r="I43" i="14"/>
  <c r="I53" i="14"/>
  <c r="I61" i="14"/>
  <c r="I69" i="14"/>
  <c r="I79" i="14"/>
  <c r="I88" i="14"/>
  <c r="I99" i="14"/>
  <c r="I10" i="14"/>
  <c r="I14" i="14"/>
  <c r="I20" i="14"/>
  <c r="I28" i="14"/>
  <c r="I38" i="14"/>
  <c r="I44" i="14"/>
  <c r="I54" i="14"/>
  <c r="I62" i="14"/>
  <c r="I70" i="14"/>
  <c r="I80" i="14"/>
  <c r="I89" i="14"/>
  <c r="I100" i="14"/>
  <c r="I11" i="14"/>
  <c r="I15" i="14"/>
  <c r="I21" i="14"/>
  <c r="I29" i="14"/>
  <c r="I39" i="14"/>
  <c r="I45" i="14"/>
  <c r="I55" i="14"/>
  <c r="I63" i="14"/>
  <c r="I71" i="14"/>
  <c r="I81" i="14"/>
  <c r="I90" i="14"/>
  <c r="I101" i="14"/>
  <c r="I22" i="14"/>
  <c r="I7" i="14"/>
  <c r="I16" i="14"/>
  <c r="I23" i="14"/>
  <c r="I30" i="14"/>
  <c r="I40" i="14"/>
  <c r="I46" i="14"/>
  <c r="I56" i="14"/>
  <c r="I64" i="14"/>
  <c r="I72" i="14"/>
  <c r="I82" i="14"/>
  <c r="I91" i="14"/>
  <c r="I102" i="14"/>
  <c r="I17" i="14"/>
  <c r="I24" i="14"/>
  <c r="I31" i="14"/>
  <c r="I41" i="14"/>
  <c r="I47" i="14"/>
  <c r="I57" i="14"/>
  <c r="I65" i="14"/>
  <c r="I73" i="14"/>
  <c r="I83" i="14"/>
  <c r="I92" i="14"/>
  <c r="I103" i="14"/>
  <c r="I48" i="14"/>
  <c r="I74" i="14"/>
  <c r="I104" i="14"/>
  <c r="I49" i="14"/>
  <c r="I58" i="14"/>
  <c r="I66" i="14"/>
  <c r="I75" i="14"/>
  <c r="I84" i="14"/>
  <c r="I93" i="14"/>
  <c r="I105" i="14"/>
  <c r="I50" i="14"/>
  <c r="I59" i="14"/>
  <c r="I67" i="14"/>
  <c r="I76" i="14"/>
  <c r="I85" i="14"/>
  <c r="I94" i="14"/>
  <c r="I106" i="14"/>
  <c r="I25" i="14"/>
  <c r="I51" i="14"/>
  <c r="I77" i="14"/>
  <c r="I107" i="14"/>
  <c r="I5" i="14"/>
  <c r="I35" i="14"/>
  <c r="I4" i="14"/>
  <c r="I6" i="14"/>
  <c r="I32" i="14"/>
  <c r="I33" i="14"/>
  <c r="I34" i="14"/>
  <c r="I86" i="14"/>
  <c r="I95" i="14"/>
  <c r="I96" i="14"/>
  <c r="I97" i="14"/>
  <c r="I8" i="14"/>
  <c r="I12" i="14"/>
  <c r="I18" i="14"/>
  <c r="I26" i="14"/>
  <c r="I36" i="14"/>
  <c r="I42" i="14"/>
  <c r="I52" i="14"/>
  <c r="I60" i="14"/>
  <c r="I68" i="14"/>
  <c r="I78" i="14"/>
  <c r="F45" i="24"/>
  <c r="H85" i="24" s="1"/>
  <c r="F21" i="24"/>
  <c r="F7" i="25"/>
  <c r="C2" i="15"/>
  <c r="F2" i="27"/>
  <c r="F1" i="27"/>
  <c r="F2" i="28"/>
  <c r="I3" i="14"/>
  <c r="B6" i="22"/>
  <c r="R4" i="9"/>
  <c r="N14" i="9"/>
  <c r="N10" i="9"/>
  <c r="K10" i="9"/>
  <c r="L10" i="9" s="1"/>
  <c r="K12" i="9"/>
  <c r="K14" i="9"/>
  <c r="L14" i="9"/>
  <c r="K15" i="9"/>
  <c r="L15" i="9" s="1"/>
  <c r="K17" i="9"/>
  <c r="L17" i="9"/>
  <c r="H88" i="24" l="1"/>
  <c r="H91" i="24" s="1"/>
  <c r="K19" i="9"/>
  <c r="L82" i="30"/>
  <c r="L81" i="30"/>
  <c r="P79" i="30"/>
  <c r="O72" i="30"/>
  <c r="N72" i="30"/>
  <c r="M63" i="30"/>
  <c r="S20" i="30" l="1"/>
  <c r="R20" i="30"/>
  <c r="N20" i="30"/>
  <c r="M20" i="30"/>
  <c r="O12" i="30"/>
  <c r="N12" i="30"/>
  <c r="M12" i="30"/>
  <c r="H12" i="24"/>
  <c r="J5" i="30" s="1"/>
  <c r="D19" i="24"/>
  <c r="B2" i="30"/>
  <c r="A2" i="30"/>
  <c r="H36" i="24" l="1"/>
  <c r="H37" i="24" s="1"/>
  <c r="F95" i="20"/>
  <c r="F94" i="20"/>
  <c r="F7" i="30"/>
  <c r="E6" i="30"/>
  <c r="D54" i="20"/>
  <c r="F6" i="30"/>
  <c r="Q80" i="30" s="1"/>
  <c r="F5" i="30"/>
  <c r="Q79" i="30" s="1"/>
  <c r="D68" i="20"/>
  <c r="E7" i="30" s="1"/>
  <c r="F8" i="28"/>
  <c r="M7" i="25"/>
  <c r="E7" i="17"/>
  <c r="I6" i="17" a="1"/>
  <c r="I6" i="17" s="1"/>
  <c r="D7" i="17" s="1"/>
  <c r="E8" i="17" l="1"/>
  <c r="D18" i="24"/>
  <c r="L12" i="9"/>
  <c r="Q12" i="9" s="1"/>
  <c r="P80" i="30"/>
  <c r="J35" i="8"/>
  <c r="J10" i="8"/>
  <c r="J11" i="8"/>
  <c r="J12" i="8"/>
  <c r="J13" i="8"/>
  <c r="J15" i="8"/>
  <c r="J26" i="8"/>
  <c r="J28" i="8"/>
  <c r="J30" i="8"/>
  <c r="J31" i="8"/>
  <c r="J32" i="8"/>
  <c r="J33" i="8"/>
  <c r="J34" i="8"/>
  <c r="J9" i="8"/>
  <c r="J10" i="7"/>
  <c r="J11" i="7"/>
  <c r="J12" i="7"/>
  <c r="J13" i="7"/>
  <c r="J14" i="7"/>
  <c r="J15" i="7"/>
  <c r="J16" i="7"/>
  <c r="J17" i="7"/>
  <c r="J18" i="7"/>
  <c r="J19" i="7"/>
  <c r="J21" i="7"/>
  <c r="J24" i="7"/>
  <c r="J25" i="7"/>
  <c r="J26" i="7"/>
  <c r="J27" i="7"/>
  <c r="J28" i="7"/>
  <c r="J29" i="7"/>
  <c r="J30" i="7"/>
  <c r="J31" i="7"/>
  <c r="J32" i="7"/>
  <c r="J33" i="7"/>
  <c r="J34" i="7"/>
  <c r="J35" i="7"/>
  <c r="J36" i="7"/>
  <c r="J37" i="7"/>
  <c r="J38" i="7"/>
  <c r="J39" i="7"/>
  <c r="J40" i="7"/>
  <c r="J41" i="7"/>
  <c r="J43" i="7"/>
  <c r="J45" i="7"/>
  <c r="J46" i="7"/>
  <c r="J47" i="7"/>
  <c r="J48" i="7"/>
  <c r="J49" i="7"/>
  <c r="J50" i="7"/>
  <c r="J51" i="7"/>
  <c r="J9" i="7"/>
  <c r="M2" i="25" l="1"/>
  <c r="M1" i="25"/>
  <c r="M8" i="9" l="1"/>
  <c r="N8" i="9"/>
  <c r="O10" i="9" l="1"/>
  <c r="R12" i="9" l="1"/>
  <c r="D102" i="20"/>
  <c r="J34" i="15"/>
  <c r="E32" i="15"/>
  <c r="J25" i="15"/>
  <c r="J24" i="15"/>
  <c r="J19" i="15"/>
  <c r="J18" i="15"/>
  <c r="J10" i="15"/>
  <c r="D94" i="20" l="1"/>
  <c r="D38" i="20"/>
  <c r="D42" i="20" s="1"/>
  <c r="B9" i="30" l="1"/>
  <c r="P20" i="30" l="1"/>
  <c r="Q20" i="30"/>
  <c r="J17" i="8"/>
  <c r="J21" i="8"/>
  <c r="J18" i="8"/>
  <c r="J22" i="8"/>
  <c r="J23" i="8"/>
  <c r="J19" i="8"/>
  <c r="J20" i="8"/>
  <c r="J24" i="8"/>
  <c r="J25" i="8"/>
  <c r="B10" i="6" a="1"/>
  <c r="B10" i="6" s="1"/>
  <c r="K4" i="13"/>
  <c r="G59" i="24"/>
  <c r="F9" i="28"/>
  <c r="F10" i="28" s="1"/>
  <c r="F93" i="20"/>
  <c r="C41" i="24"/>
  <c r="G43" i="24"/>
  <c r="G42" i="24"/>
  <c r="G41" i="24"/>
  <c r="F40" i="24"/>
  <c r="F58" i="24" s="1"/>
  <c r="F66" i="24" s="1"/>
  <c r="C36" i="24"/>
  <c r="G28" i="24"/>
  <c r="G29" i="24" s="1"/>
  <c r="H33" i="24"/>
  <c r="H34" i="24"/>
  <c r="E27" i="24"/>
  <c r="E40" i="24" s="1"/>
  <c r="E58" i="24" s="1"/>
  <c r="E66" i="24" s="1"/>
  <c r="F16" i="24"/>
  <c r="F103" i="20"/>
  <c r="G9" i="24" s="1"/>
  <c r="C103" i="20"/>
  <c r="F102" i="20"/>
  <c r="J16" i="8" l="1"/>
  <c r="O20" i="30"/>
  <c r="C82" i="6"/>
  <c r="C64" i="6"/>
  <c r="C28" i="6"/>
  <c r="C16" i="6"/>
  <c r="C15" i="6"/>
  <c r="C50" i="6"/>
  <c r="C73" i="6"/>
  <c r="C25" i="6"/>
  <c r="C36" i="6"/>
  <c r="C71" i="6"/>
  <c r="C59" i="6"/>
  <c r="C47" i="6"/>
  <c r="C35" i="6"/>
  <c r="C23" i="6"/>
  <c r="C11" i="6"/>
  <c r="C61" i="6"/>
  <c r="C52" i="6"/>
  <c r="C40" i="6"/>
  <c r="C75" i="6"/>
  <c r="C63" i="6"/>
  <c r="C51" i="6"/>
  <c r="C39" i="6"/>
  <c r="C27" i="6"/>
  <c r="C74" i="6"/>
  <c r="C62" i="6"/>
  <c r="C38" i="6"/>
  <c r="C26" i="6"/>
  <c r="C14" i="6"/>
  <c r="C49" i="6"/>
  <c r="C37" i="6"/>
  <c r="C13" i="6"/>
  <c r="C72" i="6"/>
  <c r="C60" i="6"/>
  <c r="C48" i="6"/>
  <c r="C24" i="6"/>
  <c r="C12" i="6"/>
  <c r="C70" i="6"/>
  <c r="C58" i="6"/>
  <c r="C46" i="6"/>
  <c r="C34" i="6"/>
  <c r="C22" i="6"/>
  <c r="C81" i="6"/>
  <c r="C69" i="6"/>
  <c r="C57" i="6"/>
  <c r="C45" i="6"/>
  <c r="C33" i="6"/>
  <c r="C21" i="6"/>
  <c r="C80" i="6"/>
  <c r="C68" i="6"/>
  <c r="C56" i="6"/>
  <c r="C44" i="6"/>
  <c r="C32" i="6"/>
  <c r="C20" i="6"/>
  <c r="C79" i="6"/>
  <c r="C67" i="6"/>
  <c r="C55" i="6"/>
  <c r="C43" i="6"/>
  <c r="C31" i="6"/>
  <c r="C19" i="6"/>
  <c r="C78" i="6"/>
  <c r="C66" i="6"/>
  <c r="C54" i="6"/>
  <c r="C42" i="6"/>
  <c r="C30" i="6"/>
  <c r="C18" i="6"/>
  <c r="C77" i="6"/>
  <c r="C65" i="6"/>
  <c r="C53" i="6"/>
  <c r="C41" i="6"/>
  <c r="C29" i="6"/>
  <c r="C17" i="6"/>
  <c r="C76" i="6"/>
  <c r="H29" i="24"/>
  <c r="H28" i="24"/>
  <c r="G30" i="24" l="1"/>
  <c r="H30" i="24" l="1"/>
  <c r="G31" i="24"/>
  <c r="G32" i="24" s="1"/>
  <c r="H32" i="24" l="1"/>
  <c r="H31" i="24"/>
  <c r="F9" i="27" l="1"/>
  <c r="F10" i="27" s="1"/>
  <c r="E102" i="20"/>
  <c r="C102" i="20"/>
  <c r="C42" i="24" l="1"/>
  <c r="D95" i="20"/>
  <c r="F13" i="9"/>
  <c r="F11" i="9"/>
  <c r="C10" i="30"/>
  <c r="B10" i="30"/>
  <c r="C17" i="28"/>
  <c r="F6" i="27"/>
  <c r="F8" i="30" s="1"/>
  <c r="Q82" i="30" s="1"/>
  <c r="F6" i="28"/>
  <c r="E8" i="30" s="1"/>
  <c r="P82" i="30" s="1"/>
  <c r="D10" i="30"/>
  <c r="D8" i="30"/>
  <c r="O82" i="30" s="1"/>
  <c r="C8" i="30"/>
  <c r="N82" i="30" s="1"/>
  <c r="D5" i="30"/>
  <c r="O79" i="30" s="1"/>
  <c r="D64" i="20"/>
  <c r="C7" i="30"/>
  <c r="B8" i="30"/>
  <c r="M82" i="30" s="1"/>
  <c r="A13" i="30"/>
  <c r="D6" i="30"/>
  <c r="C6" i="30"/>
  <c r="N80" i="30" s="1"/>
  <c r="B6" i="30"/>
  <c r="C5" i="30"/>
  <c r="N79" i="30" s="1"/>
  <c r="B5" i="30"/>
  <c r="M79" i="30" s="1"/>
  <c r="D24" i="20"/>
  <c r="D40" i="20" s="1"/>
  <c r="B7" i="30" s="1"/>
  <c r="D7" i="30" s="1"/>
  <c r="E4" i="2"/>
  <c r="C1" i="20" s="1"/>
  <c r="M80" i="30" l="1"/>
  <c r="O80" i="30"/>
  <c r="I13" i="30"/>
  <c r="G8" i="30"/>
  <c r="C13" i="30"/>
  <c r="J7" i="30"/>
  <c r="J6" i="30"/>
  <c r="D9" i="30"/>
  <c r="C43" i="24"/>
  <c r="A14" i="30"/>
  <c r="B13" i="30"/>
  <c r="I14" i="30" l="1"/>
  <c r="A15" i="30"/>
  <c r="B14" i="30"/>
  <c r="C14" i="30"/>
  <c r="I15" i="30" l="1"/>
  <c r="A16" i="30"/>
  <c r="I16" i="30" s="1"/>
  <c r="B15" i="30"/>
  <c r="C15" i="30"/>
  <c r="A17" i="30" l="1"/>
  <c r="D17" i="30" s="1"/>
  <c r="B16" i="30"/>
  <c r="C16" i="30"/>
  <c r="B17" i="30"/>
  <c r="A18" i="30"/>
  <c r="I18" i="30" l="1"/>
  <c r="C17" i="30"/>
  <c r="I17" i="30"/>
  <c r="E17" i="30"/>
  <c r="D18" i="30"/>
  <c r="A19" i="30"/>
  <c r="C18" i="30"/>
  <c r="B18" i="30"/>
  <c r="I19" i="30" l="1"/>
  <c r="D19" i="30"/>
  <c r="A20" i="30"/>
  <c r="B19" i="30"/>
  <c r="C19" i="30"/>
  <c r="I20" i="30" l="1"/>
  <c r="D20" i="30"/>
  <c r="A21" i="30"/>
  <c r="B20" i="30"/>
  <c r="C20" i="30"/>
  <c r="I21" i="30" l="1"/>
  <c r="D21" i="30"/>
  <c r="A22" i="30"/>
  <c r="C21" i="30"/>
  <c r="B21" i="30"/>
  <c r="I22" i="30" l="1"/>
  <c r="D22" i="30"/>
  <c r="A23" i="30"/>
  <c r="B22" i="30"/>
  <c r="C22" i="30"/>
  <c r="I23" i="30" l="1"/>
  <c r="D23" i="30"/>
  <c r="A24" i="30"/>
  <c r="B23" i="30"/>
  <c r="C23" i="30"/>
  <c r="C11" i="30" s="1"/>
  <c r="N81" i="30" s="1"/>
  <c r="I24" i="30" l="1"/>
  <c r="I53" i="30" s="1"/>
  <c r="D24" i="30"/>
  <c r="B24" i="30"/>
  <c r="C24" i="30"/>
  <c r="A25" i="30"/>
  <c r="I25" i="30" l="1"/>
  <c r="D55" i="20"/>
  <c r="D25" i="30"/>
  <c r="B25" i="30"/>
  <c r="A26" i="30"/>
  <c r="C25" i="30"/>
  <c r="D97" i="20"/>
  <c r="I26" i="30" l="1"/>
  <c r="D26" i="30"/>
  <c r="A27" i="30"/>
  <c r="B26" i="30"/>
  <c r="C26" i="30"/>
  <c r="I27" i="30" l="1"/>
  <c r="D27" i="30"/>
  <c r="B27" i="30"/>
  <c r="C27" i="30"/>
  <c r="A28" i="30"/>
  <c r="I28" i="30" l="1"/>
  <c r="D28" i="30"/>
  <c r="B28" i="30"/>
  <c r="C28" i="30"/>
  <c r="A29" i="30"/>
  <c r="I29" i="30" l="1"/>
  <c r="D29" i="30"/>
  <c r="B29" i="30"/>
  <c r="C29" i="30"/>
  <c r="A30" i="30"/>
  <c r="I30" i="30" l="1"/>
  <c r="D30" i="30"/>
  <c r="A31" i="30"/>
  <c r="B30" i="30"/>
  <c r="C30" i="30"/>
  <c r="I31" i="30" l="1"/>
  <c r="D31" i="30"/>
  <c r="A32" i="30"/>
  <c r="B31" i="30"/>
  <c r="C31" i="30"/>
  <c r="I32" i="30" l="1"/>
  <c r="D32" i="30"/>
  <c r="A33" i="30"/>
  <c r="B32" i="30"/>
  <c r="C32" i="30"/>
  <c r="I33" i="30" l="1"/>
  <c r="D33" i="30"/>
  <c r="B33" i="30"/>
  <c r="C33" i="30"/>
  <c r="A34" i="30"/>
  <c r="I34" i="30" l="1"/>
  <c r="D34" i="30"/>
  <c r="A35" i="30"/>
  <c r="B34" i="30"/>
  <c r="C34" i="30"/>
  <c r="I35" i="30" l="1"/>
  <c r="D35" i="30"/>
  <c r="A36" i="30"/>
  <c r="C35" i="30"/>
  <c r="B35" i="30"/>
  <c r="E17" i="28"/>
  <c r="F7" i="28"/>
  <c r="C18" i="28"/>
  <c r="F13" i="28"/>
  <c r="B18" i="28"/>
  <c r="B19" i="28" s="1"/>
  <c r="B20" i="28" s="1"/>
  <c r="B21" i="28" s="1"/>
  <c r="B22" i="28" s="1"/>
  <c r="B23" i="28" s="1"/>
  <c r="B24" i="28" s="1"/>
  <c r="B25" i="28" s="1"/>
  <c r="B26" i="28" s="1"/>
  <c r="B27" i="28" s="1"/>
  <c r="B28" i="28" s="1"/>
  <c r="B29" i="28" s="1"/>
  <c r="B30" i="28" s="1"/>
  <c r="B31" i="28" s="1"/>
  <c r="B32" i="28" s="1"/>
  <c r="B33" i="28" s="1"/>
  <c r="B34" i="28" s="1"/>
  <c r="B35" i="28" s="1"/>
  <c r="B36" i="28" s="1"/>
  <c r="B37" i="28" s="1"/>
  <c r="B38" i="28" s="1"/>
  <c r="B39" i="28" s="1"/>
  <c r="B40" i="28" s="1"/>
  <c r="B41" i="28" s="1"/>
  <c r="B42" i="28" s="1"/>
  <c r="B43" i="28" s="1"/>
  <c r="B44" i="28" s="1"/>
  <c r="B45" i="28" s="1"/>
  <c r="B46" i="28" s="1"/>
  <c r="B47" i="28" s="1"/>
  <c r="B48" i="28" s="1"/>
  <c r="B49" i="28" s="1"/>
  <c r="B50" i="28" s="1"/>
  <c r="B51" i="28" s="1"/>
  <c r="B52" i="28" s="1"/>
  <c r="E17" i="27"/>
  <c r="F7" i="27"/>
  <c r="F13" i="27"/>
  <c r="B18" i="27"/>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B45" i="27" s="1"/>
  <c r="B46" i="27" s="1"/>
  <c r="B47" i="27" s="1"/>
  <c r="B48" i="27" s="1"/>
  <c r="B49" i="27" s="1"/>
  <c r="B50" i="27" s="1"/>
  <c r="B51" i="27" s="1"/>
  <c r="B52" i="27" s="1"/>
  <c r="B53" i="27" s="1"/>
  <c r="B54" i="27" s="1"/>
  <c r="B55" i="27" s="1"/>
  <c r="B56" i="27" s="1"/>
  <c r="B57" i="27" s="1"/>
  <c r="B58" i="27" s="1"/>
  <c r="B59" i="27" s="1"/>
  <c r="B60" i="27" s="1"/>
  <c r="B61" i="27" s="1"/>
  <c r="B62" i="27" s="1"/>
  <c r="B63" i="27" s="1"/>
  <c r="B64" i="27" s="1"/>
  <c r="B65" i="27" s="1"/>
  <c r="B66" i="27" s="1"/>
  <c r="B67" i="27" s="1"/>
  <c r="B68" i="27" s="1"/>
  <c r="B69" i="27" s="1"/>
  <c r="B70" i="27" s="1"/>
  <c r="B71" i="27" s="1"/>
  <c r="B72" i="27" s="1"/>
  <c r="B73" i="27" s="1"/>
  <c r="B74" i="27" s="1"/>
  <c r="B75" i="27" s="1"/>
  <c r="B76" i="27" s="1"/>
  <c r="C7" i="25"/>
  <c r="K10" i="25"/>
  <c r="I4" i="24"/>
  <c r="I5" i="24"/>
  <c r="B6" i="24"/>
  <c r="C6" i="24"/>
  <c r="D6" i="24"/>
  <c r="G6" i="24"/>
  <c r="B7" i="24"/>
  <c r="C7" i="24"/>
  <c r="G7" i="24"/>
  <c r="B8" i="24"/>
  <c r="C8" i="24"/>
  <c r="G8" i="24"/>
  <c r="H13" i="24"/>
  <c r="B17" i="24"/>
  <c r="G17" i="24"/>
  <c r="H17" i="24"/>
  <c r="B18" i="24"/>
  <c r="G18" i="24"/>
  <c r="H18" i="24"/>
  <c r="B19" i="24"/>
  <c r="G19" i="24"/>
  <c r="G20" i="24" s="1"/>
  <c r="B20" i="24"/>
  <c r="E20" i="24"/>
  <c r="B21" i="24"/>
  <c r="C21" i="24"/>
  <c r="E21" i="24"/>
  <c r="H23" i="24"/>
  <c r="H24" i="24" s="1"/>
  <c r="B41" i="24"/>
  <c r="H41" i="24"/>
  <c r="B42" i="24"/>
  <c r="H42" i="24"/>
  <c r="B43" i="24"/>
  <c r="B44" i="24"/>
  <c r="B45" i="24"/>
  <c r="H47" i="24"/>
  <c r="H48" i="24" s="1"/>
  <c r="H51" i="24"/>
  <c r="H53" i="24"/>
  <c r="H62" i="24"/>
  <c r="H72" i="24"/>
  <c r="H73" i="24" s="1"/>
  <c r="H59" i="24"/>
  <c r="D30" i="20"/>
  <c r="D17" i="24"/>
  <c r="D48" i="20"/>
  <c r="D60" i="20"/>
  <c r="C19" i="24"/>
  <c r="D77" i="20"/>
  <c r="E79" i="20"/>
  <c r="D112" i="20"/>
  <c r="C17" i="24" s="1"/>
  <c r="D113" i="20"/>
  <c r="C18" i="24" s="1"/>
  <c r="D114" i="20"/>
  <c r="D115" i="20"/>
  <c r="J5" i="24" l="1"/>
  <c r="J4" i="24" s="1"/>
  <c r="I36" i="30"/>
  <c r="E7" i="25"/>
  <c r="E10" i="25" s="1"/>
  <c r="G7" i="25"/>
  <c r="G10" i="25" s="1"/>
  <c r="H7" i="25"/>
  <c r="H19" i="25" s="1"/>
  <c r="I7" i="25"/>
  <c r="I10" i="25" s="1"/>
  <c r="D7" i="25"/>
  <c r="F10" i="25"/>
  <c r="D8" i="17"/>
  <c r="H63" i="24"/>
  <c r="C12" i="24"/>
  <c r="C62" i="24" s="1"/>
  <c r="J34" i="24"/>
  <c r="J33" i="24"/>
  <c r="J30" i="24"/>
  <c r="J31" i="24"/>
  <c r="D36" i="30"/>
  <c r="B36" i="30"/>
  <c r="C36" i="30"/>
  <c r="A37" i="30"/>
  <c r="C20" i="24"/>
  <c r="G17" i="28"/>
  <c r="G17" i="27"/>
  <c r="D116" i="20"/>
  <c r="E112" i="20" s="1"/>
  <c r="J40" i="24"/>
  <c r="J42" i="24" s="1"/>
  <c r="J28" i="24"/>
  <c r="J58" i="24"/>
  <c r="J16" i="24"/>
  <c r="F12" i="27"/>
  <c r="F12" i="28"/>
  <c r="E9" i="30" s="1"/>
  <c r="H21" i="24"/>
  <c r="H45" i="24"/>
  <c r="C17" i="27"/>
  <c r="G21" i="24"/>
  <c r="H43" i="24"/>
  <c r="H44" i="24"/>
  <c r="H19" i="24"/>
  <c r="J6" i="24"/>
  <c r="C19" i="25"/>
  <c r="C10" i="25"/>
  <c r="D17" i="28"/>
  <c r="D18" i="28"/>
  <c r="C19" i="28"/>
  <c r="J10" i="24"/>
  <c r="J8" i="24"/>
  <c r="J29" i="24" l="1"/>
  <c r="J66" i="24"/>
  <c r="J32" i="24"/>
  <c r="J36" i="24" s="1"/>
  <c r="K5" i="24"/>
  <c r="K8" i="24" s="1"/>
  <c r="J27" i="24"/>
  <c r="J7" i="24"/>
  <c r="J17" i="24"/>
  <c r="J18" i="24" s="1"/>
  <c r="J19" i="24" s="1"/>
  <c r="I37" i="30"/>
  <c r="K27" i="24"/>
  <c r="K6" i="24"/>
  <c r="F17" i="27"/>
  <c r="H17" i="27" s="1"/>
  <c r="I17" i="27" s="1"/>
  <c r="E18" i="27" s="1"/>
  <c r="G18" i="27" s="1"/>
  <c r="F9" i="30"/>
  <c r="D19" i="25"/>
  <c r="H10" i="25"/>
  <c r="D10" i="25"/>
  <c r="J67" i="24"/>
  <c r="J59" i="24"/>
  <c r="G44" i="24"/>
  <c r="J43" i="24"/>
  <c r="K7" i="24"/>
  <c r="K32" i="24"/>
  <c r="K29" i="24"/>
  <c r="D37" i="30"/>
  <c r="F17" i="28"/>
  <c r="E18" i="30" s="1"/>
  <c r="B37" i="30"/>
  <c r="C37" i="30"/>
  <c r="A38" i="30"/>
  <c r="E113" i="20"/>
  <c r="E114" i="20"/>
  <c r="E115" i="20"/>
  <c r="J41" i="24"/>
  <c r="J60" i="24"/>
  <c r="D19" i="28"/>
  <c r="C20" i="28"/>
  <c r="C18" i="27"/>
  <c r="D17" i="27"/>
  <c r="J9" i="24"/>
  <c r="H20" i="24"/>
  <c r="E19" i="25"/>
  <c r="K16" i="24" l="1"/>
  <c r="K66" i="24"/>
  <c r="K31" i="24"/>
  <c r="K30" i="24"/>
  <c r="K33" i="24"/>
  <c r="K40" i="24"/>
  <c r="K41" i="24" s="1"/>
  <c r="K28" i="24"/>
  <c r="L5" i="24"/>
  <c r="M5" i="24" s="1"/>
  <c r="K58" i="24"/>
  <c r="K59" i="24" s="1"/>
  <c r="K34" i="24"/>
  <c r="K4" i="24"/>
  <c r="K9" i="24"/>
  <c r="K10" i="24"/>
  <c r="I38" i="30"/>
  <c r="K17" i="24"/>
  <c r="K18" i="24" s="1"/>
  <c r="K19" i="24" s="1"/>
  <c r="F18" i="27"/>
  <c r="F19" i="27" s="1"/>
  <c r="F20" i="27" s="1"/>
  <c r="F18" i="30"/>
  <c r="F18" i="28"/>
  <c r="E19" i="30" s="1"/>
  <c r="K43" i="24"/>
  <c r="J37" i="24"/>
  <c r="J62" i="24"/>
  <c r="J63" i="24" s="1"/>
  <c r="J44" i="24"/>
  <c r="K44" i="24"/>
  <c r="G45" i="24"/>
  <c r="J52" i="24"/>
  <c r="J53" i="24" s="1"/>
  <c r="L7" i="24"/>
  <c r="L40" i="24"/>
  <c r="D38" i="30"/>
  <c r="H17" i="28"/>
  <c r="J72" i="24"/>
  <c r="J73" i="24" s="1"/>
  <c r="B38" i="30"/>
  <c r="C38" i="30"/>
  <c r="A39" i="30"/>
  <c r="E116" i="20"/>
  <c r="D20" i="28"/>
  <c r="C21" i="28"/>
  <c r="D18" i="27"/>
  <c r="C19" i="27"/>
  <c r="J12" i="24"/>
  <c r="J13" i="30" s="1"/>
  <c r="F19" i="25"/>
  <c r="D3" i="17"/>
  <c r="C3" i="9"/>
  <c r="H4" i="6"/>
  <c r="H2" i="6"/>
  <c r="C3" i="7"/>
  <c r="C3" i="8"/>
  <c r="E5" i="16"/>
  <c r="J37" i="8"/>
  <c r="D17" i="16"/>
  <c r="F17" i="16" s="1"/>
  <c r="L28" i="24" l="1"/>
  <c r="L34" i="24"/>
  <c r="L9" i="24"/>
  <c r="L6" i="24"/>
  <c r="L58" i="24"/>
  <c r="L59" i="24" s="1"/>
  <c r="K42" i="24"/>
  <c r="L31" i="24"/>
  <c r="L30" i="24"/>
  <c r="K60" i="24"/>
  <c r="K62" i="24" s="1"/>
  <c r="K63" i="24" s="1"/>
  <c r="L29" i="24"/>
  <c r="L32" i="24"/>
  <c r="L36" i="24" s="1"/>
  <c r="L16" i="24"/>
  <c r="L44" i="24" s="1"/>
  <c r="K12" i="24"/>
  <c r="J14" i="30" s="1"/>
  <c r="K36" i="24"/>
  <c r="K37" i="24" s="1"/>
  <c r="L10" i="24"/>
  <c r="L33" i="24"/>
  <c r="L27" i="24"/>
  <c r="L8" i="24"/>
  <c r="K67" i="24"/>
  <c r="K72" i="24" s="1"/>
  <c r="L4" i="24"/>
  <c r="L66" i="24"/>
  <c r="K52" i="24"/>
  <c r="K53" i="24" s="1"/>
  <c r="H18" i="27"/>
  <c r="I18" i="27" s="1"/>
  <c r="E19" i="27" s="1"/>
  <c r="G19" i="27" s="1"/>
  <c r="H19" i="27" s="1"/>
  <c r="I19" i="27" s="1"/>
  <c r="E20" i="27" s="1"/>
  <c r="G20" i="27" s="1"/>
  <c r="H20" i="27" s="1"/>
  <c r="I20" i="27" s="1"/>
  <c r="E21" i="27" s="1"/>
  <c r="F19" i="30"/>
  <c r="I39" i="30"/>
  <c r="F19" i="28"/>
  <c r="E20" i="30" s="1"/>
  <c r="I17" i="28"/>
  <c r="E18" i="28" s="1"/>
  <c r="G18" i="28" s="1"/>
  <c r="L41" i="24"/>
  <c r="L42" i="24"/>
  <c r="L43" i="24"/>
  <c r="K45" i="24"/>
  <c r="J45" i="24"/>
  <c r="L45" i="24"/>
  <c r="M6" i="24"/>
  <c r="M33" i="24"/>
  <c r="M34" i="24"/>
  <c r="M28" i="24"/>
  <c r="M32" i="24"/>
  <c r="M29" i="24"/>
  <c r="M30" i="24"/>
  <c r="M31" i="24"/>
  <c r="M66" i="24"/>
  <c r="M9" i="24"/>
  <c r="M16" i="24"/>
  <c r="M7" i="24"/>
  <c r="M4" i="24"/>
  <c r="M27" i="24"/>
  <c r="N5" i="24"/>
  <c r="M10" i="24"/>
  <c r="M40" i="24"/>
  <c r="M8" i="24"/>
  <c r="M58" i="24"/>
  <c r="M59" i="24" s="1"/>
  <c r="K73" i="24"/>
  <c r="D39" i="30"/>
  <c r="B39" i="30"/>
  <c r="C39" i="30"/>
  <c r="A40" i="30"/>
  <c r="C22" i="28"/>
  <c r="C23" i="28" s="1"/>
  <c r="D21" i="28"/>
  <c r="F21" i="27"/>
  <c r="J13" i="24"/>
  <c r="K13" i="24" s="1"/>
  <c r="C20" i="27"/>
  <c r="D19" i="27"/>
  <c r="G19" i="25"/>
  <c r="E7" i="16"/>
  <c r="L12" i="24" l="1"/>
  <c r="J15" i="30" s="1"/>
  <c r="L17" i="24"/>
  <c r="L18" i="24" s="1"/>
  <c r="L19" i="24" s="1"/>
  <c r="L67" i="24"/>
  <c r="L72" i="24" s="1"/>
  <c r="L60" i="24"/>
  <c r="L62" i="24" s="1"/>
  <c r="L50" i="24"/>
  <c r="I40" i="30"/>
  <c r="M44" i="24"/>
  <c r="M17" i="24"/>
  <c r="M18" i="24"/>
  <c r="M19" i="24" s="1"/>
  <c r="D23" i="28"/>
  <c r="C24" i="28"/>
  <c r="F20" i="30"/>
  <c r="L63" i="24"/>
  <c r="L13" i="24"/>
  <c r="F20" i="28"/>
  <c r="E21" i="30" s="1"/>
  <c r="L73" i="24"/>
  <c r="L52" i="24"/>
  <c r="L53" i="24" s="1"/>
  <c r="H18" i="28"/>
  <c r="M45" i="24"/>
  <c r="M50" i="24" s="1"/>
  <c r="L37" i="24"/>
  <c r="M41" i="24"/>
  <c r="M42" i="24"/>
  <c r="M43" i="24"/>
  <c r="J50" i="24"/>
  <c r="J51" i="24" s="1"/>
  <c r="J47" i="24"/>
  <c r="J48" i="24" s="1"/>
  <c r="K50" i="24"/>
  <c r="K47" i="24"/>
  <c r="M36" i="24"/>
  <c r="N9" i="24"/>
  <c r="N33" i="24"/>
  <c r="N34" i="24"/>
  <c r="N32" i="24"/>
  <c r="N28" i="24"/>
  <c r="N29" i="24"/>
  <c r="N30" i="24"/>
  <c r="N31" i="24"/>
  <c r="N7" i="24"/>
  <c r="N6" i="24"/>
  <c r="N4" i="24"/>
  <c r="N8" i="24"/>
  <c r="O5" i="24"/>
  <c r="N58" i="24"/>
  <c r="N59" i="24" s="1"/>
  <c r="N40" i="24"/>
  <c r="N10" i="24"/>
  <c r="N66" i="24"/>
  <c r="N27" i="24"/>
  <c r="N16" i="24"/>
  <c r="M12" i="24"/>
  <c r="J16" i="30" s="1"/>
  <c r="L47" i="24"/>
  <c r="M60" i="24"/>
  <c r="M62" i="24" s="1"/>
  <c r="M67" i="24"/>
  <c r="M72" i="24" s="1"/>
  <c r="D40" i="30"/>
  <c r="B40" i="30"/>
  <c r="C40" i="30"/>
  <c r="A41" i="30"/>
  <c r="G21" i="27"/>
  <c r="H21" i="27" s="1"/>
  <c r="I21" i="27" s="1"/>
  <c r="E22" i="27" s="1"/>
  <c r="D20" i="27"/>
  <c r="C21" i="27"/>
  <c r="C22" i="27" s="1"/>
  <c r="I19" i="25"/>
  <c r="K7" i="25"/>
  <c r="F8" i="17" s="1"/>
  <c r="D22" i="28"/>
  <c r="F22" i="27"/>
  <c r="C5" i="9"/>
  <c r="C5" i="7"/>
  <c r="H17" i="16"/>
  <c r="I41" i="30" l="1"/>
  <c r="N44" i="24"/>
  <c r="N17" i="24"/>
  <c r="N18" i="24" s="1"/>
  <c r="N19" i="24" s="1"/>
  <c r="M73" i="24"/>
  <c r="F21" i="30"/>
  <c r="D24" i="28"/>
  <c r="C25" i="28"/>
  <c r="M63" i="24"/>
  <c r="M13" i="24"/>
  <c r="D22" i="27"/>
  <c r="C23" i="27"/>
  <c r="D23" i="27" s="1"/>
  <c r="F21" i="28"/>
  <c r="E22" i="30" s="1"/>
  <c r="D8" i="25"/>
  <c r="E8" i="25"/>
  <c r="F8" i="25"/>
  <c r="G8" i="25"/>
  <c r="I8" i="25"/>
  <c r="H8" i="25"/>
  <c r="M52" i="24"/>
  <c r="M53" i="24" s="1"/>
  <c r="I18" i="28"/>
  <c r="E19" i="28" s="1"/>
  <c r="G19" i="28" s="1"/>
  <c r="M37" i="24"/>
  <c r="N41" i="24"/>
  <c r="N42" i="24"/>
  <c r="N43" i="24"/>
  <c r="K51" i="24"/>
  <c r="L51" i="24" s="1"/>
  <c r="M51" i="24" s="1"/>
  <c r="N12" i="24"/>
  <c r="J17" i="30" s="1"/>
  <c r="K48" i="24"/>
  <c r="L48" i="24" s="1"/>
  <c r="N36" i="24"/>
  <c r="N67" i="24"/>
  <c r="N72" i="24" s="1"/>
  <c r="N73" i="24" s="1"/>
  <c r="N60" i="24"/>
  <c r="O33" i="24"/>
  <c r="O28" i="24"/>
  <c r="O34" i="24"/>
  <c r="O32" i="24"/>
  <c r="O29" i="24"/>
  <c r="O30" i="24"/>
  <c r="O31" i="24"/>
  <c r="O58" i="24"/>
  <c r="O59" i="24" s="1"/>
  <c r="O27" i="24"/>
  <c r="O10" i="24"/>
  <c r="O6" i="24"/>
  <c r="O7" i="24"/>
  <c r="O9" i="24"/>
  <c r="O4" i="24"/>
  <c r="O8" i="24"/>
  <c r="O16" i="24"/>
  <c r="O40" i="24"/>
  <c r="P5" i="24"/>
  <c r="O66" i="24"/>
  <c r="M47" i="24"/>
  <c r="D41" i="30"/>
  <c r="A42" i="30"/>
  <c r="B41" i="30"/>
  <c r="C41" i="30"/>
  <c r="G22" i="27"/>
  <c r="H22" i="27" s="1"/>
  <c r="I22" i="27" s="1"/>
  <c r="E23" i="27" s="1"/>
  <c r="D21" i="27"/>
  <c r="N21" i="24" s="1"/>
  <c r="F23" i="27"/>
  <c r="F24" i="27" s="1"/>
  <c r="D5" i="17"/>
  <c r="C5" i="8"/>
  <c r="C4" i="15" s="1"/>
  <c r="D7" i="8"/>
  <c r="D7" i="7"/>
  <c r="D7" i="15" s="1"/>
  <c r="D8" i="6"/>
  <c r="Q17" i="9"/>
  <c r="F16" i="9"/>
  <c r="Q10" i="9"/>
  <c r="F9" i="9"/>
  <c r="M21" i="24" l="1"/>
  <c r="K21" i="24"/>
  <c r="L21" i="24"/>
  <c r="I42" i="30"/>
  <c r="O21" i="24"/>
  <c r="O20" i="24"/>
  <c r="O17" i="24"/>
  <c r="O18" i="24" s="1"/>
  <c r="O19" i="24" s="1"/>
  <c r="D25" i="28"/>
  <c r="C26" i="28"/>
  <c r="F23" i="30"/>
  <c r="F22" i="30"/>
  <c r="N13" i="24"/>
  <c r="N14" i="24" s="1"/>
  <c r="F22" i="28"/>
  <c r="E23" i="30" s="1"/>
  <c r="K8" i="25"/>
  <c r="H19" i="28"/>
  <c r="N37" i="24"/>
  <c r="R14" i="9"/>
  <c r="O44" i="24"/>
  <c r="O45" i="24"/>
  <c r="P84" i="24"/>
  <c r="O41" i="24"/>
  <c r="O42" i="24"/>
  <c r="O43" i="24"/>
  <c r="N52" i="24"/>
  <c r="N53" i="24" s="1"/>
  <c r="M48" i="24"/>
  <c r="N62" i="24"/>
  <c r="N63" i="24" s="1"/>
  <c r="F25" i="27"/>
  <c r="F26" i="27" s="1"/>
  <c r="F27" i="27" s="1"/>
  <c r="F28" i="27" s="1"/>
  <c r="F29" i="27" s="1"/>
  <c r="F30" i="27" s="1"/>
  <c r="F31" i="27" s="1"/>
  <c r="F32" i="27" s="1"/>
  <c r="F33" i="27" s="1"/>
  <c r="F34" i="27" s="1"/>
  <c r="F35" i="27" s="1"/>
  <c r="F36" i="27" s="1"/>
  <c r="F37" i="27" s="1"/>
  <c r="F38" i="27" s="1"/>
  <c r="F39" i="27" s="1"/>
  <c r="F40" i="27" s="1"/>
  <c r="F41" i="27" s="1"/>
  <c r="F42" i="27" s="1"/>
  <c r="F43" i="27" s="1"/>
  <c r="F44" i="27" s="1"/>
  <c r="F45" i="27" s="1"/>
  <c r="F46" i="27" s="1"/>
  <c r="F47" i="27" s="1"/>
  <c r="F48" i="27" s="1"/>
  <c r="F49" i="27" s="1"/>
  <c r="F50" i="27" s="1"/>
  <c r="F51" i="27" s="1"/>
  <c r="F52" i="27" s="1"/>
  <c r="F53" i="27" s="1"/>
  <c r="O36" i="24"/>
  <c r="P33" i="24"/>
  <c r="P34" i="24"/>
  <c r="P32" i="24"/>
  <c r="P28" i="24"/>
  <c r="P29" i="24"/>
  <c r="P30" i="24"/>
  <c r="P31" i="24"/>
  <c r="P40" i="24"/>
  <c r="P43" i="24" s="1"/>
  <c r="P6" i="24"/>
  <c r="P4" i="24"/>
  <c r="Q5" i="24"/>
  <c r="P10" i="24"/>
  <c r="P58" i="24"/>
  <c r="P59" i="24" s="1"/>
  <c r="P66" i="24"/>
  <c r="P7" i="24"/>
  <c r="P9" i="24"/>
  <c r="P8" i="24"/>
  <c r="P27" i="24"/>
  <c r="P16" i="24"/>
  <c r="O12" i="24"/>
  <c r="J18" i="30" s="1"/>
  <c r="O67" i="24"/>
  <c r="O72" i="24" s="1"/>
  <c r="O73" i="24" s="1"/>
  <c r="O60" i="24"/>
  <c r="O62" i="24" s="1"/>
  <c r="R10" i="9"/>
  <c r="D42" i="30"/>
  <c r="C42" i="30"/>
  <c r="A43" i="30"/>
  <c r="B42" i="30"/>
  <c r="G23" i="27"/>
  <c r="H23" i="27" s="1"/>
  <c r="I23" i="27" s="1"/>
  <c r="I43" i="30" l="1"/>
  <c r="P20" i="24"/>
  <c r="P21" i="24"/>
  <c r="P17" i="24"/>
  <c r="P18" i="24" s="1"/>
  <c r="P19" i="24" s="1"/>
  <c r="D26" i="28"/>
  <c r="C27" i="28"/>
  <c r="F54" i="27"/>
  <c r="F23" i="28"/>
  <c r="E24" i="30" s="1"/>
  <c r="I19" i="28"/>
  <c r="E20" i="28" s="1"/>
  <c r="G20" i="28" s="1"/>
  <c r="O37" i="24"/>
  <c r="E24" i="27"/>
  <c r="G24" i="27" s="1"/>
  <c r="H24" i="27" s="1"/>
  <c r="I24" i="27" s="1"/>
  <c r="E25" i="27" s="1"/>
  <c r="G25" i="27" s="1"/>
  <c r="H25" i="27" s="1"/>
  <c r="I25" i="27" s="1"/>
  <c r="E26" i="27" s="1"/>
  <c r="G26" i="27" s="1"/>
  <c r="H26" i="27" s="1"/>
  <c r="I26" i="27" s="1"/>
  <c r="E27" i="27" s="1"/>
  <c r="G27" i="27" s="1"/>
  <c r="H27" i="27" s="1"/>
  <c r="I27" i="27" s="1"/>
  <c r="E28" i="27" s="1"/>
  <c r="G28" i="27" s="1"/>
  <c r="H28" i="27" s="1"/>
  <c r="I28" i="27" s="1"/>
  <c r="E29" i="27" s="1"/>
  <c r="G29" i="27" s="1"/>
  <c r="H29" i="27" s="1"/>
  <c r="I29" i="27" s="1"/>
  <c r="E30" i="27" s="1"/>
  <c r="O52" i="24"/>
  <c r="O53" i="24" s="1"/>
  <c r="Q84" i="24"/>
  <c r="Q85" i="24"/>
  <c r="P41" i="24"/>
  <c r="P42" i="24"/>
  <c r="P44" i="24"/>
  <c r="P45" i="24"/>
  <c r="O63" i="24"/>
  <c r="P12" i="24"/>
  <c r="P67" i="24"/>
  <c r="P72" i="24" s="1"/>
  <c r="P73" i="24" s="1"/>
  <c r="P60" i="24"/>
  <c r="P36" i="24"/>
  <c r="O13" i="24"/>
  <c r="Q33" i="24"/>
  <c r="Q34" i="24"/>
  <c r="Q32" i="24"/>
  <c r="Q28" i="24"/>
  <c r="Q29" i="24"/>
  <c r="Q30" i="24"/>
  <c r="Q31" i="24"/>
  <c r="Q16" i="24"/>
  <c r="Q6" i="24"/>
  <c r="Q9" i="24"/>
  <c r="Q27" i="24"/>
  <c r="Q40" i="24"/>
  <c r="Q43" i="24" s="1"/>
  <c r="Q7" i="24"/>
  <c r="Q58" i="24"/>
  <c r="Q59" i="24" s="1"/>
  <c r="Q66" i="24"/>
  <c r="Q8" i="24"/>
  <c r="Q10" i="24"/>
  <c r="Q4" i="24"/>
  <c r="R5" i="24"/>
  <c r="D43" i="30"/>
  <c r="A44" i="30"/>
  <c r="B43" i="30"/>
  <c r="C43" i="30"/>
  <c r="I44" i="30" l="1"/>
  <c r="Q21" i="24"/>
  <c r="Q20" i="24"/>
  <c r="Q17" i="24"/>
  <c r="Q18" i="24" s="1"/>
  <c r="Q19" i="24" s="1"/>
  <c r="D27" i="28"/>
  <c r="C28" i="28"/>
  <c r="F55" i="27"/>
  <c r="F56" i="27" s="1"/>
  <c r="F26" i="30"/>
  <c r="F25" i="30"/>
  <c r="F24" i="28"/>
  <c r="E25" i="30" s="1"/>
  <c r="H20" i="28"/>
  <c r="P52" i="24"/>
  <c r="P53" i="24" s="1"/>
  <c r="P37" i="24"/>
  <c r="R84" i="24"/>
  <c r="R85" i="24"/>
  <c r="Q41" i="24"/>
  <c r="Q42" i="24"/>
  <c r="Q44" i="24"/>
  <c r="Q45" i="24"/>
  <c r="P87" i="24"/>
  <c r="P90" i="24" s="1"/>
  <c r="P62" i="24"/>
  <c r="P63" i="24" s="1"/>
  <c r="P13" i="24"/>
  <c r="G30" i="27"/>
  <c r="H30" i="27" s="1"/>
  <c r="I30" i="27" s="1"/>
  <c r="E31" i="27" s="1"/>
  <c r="Q12" i="24"/>
  <c r="J20" i="30" s="1"/>
  <c r="R33" i="24"/>
  <c r="R34" i="24"/>
  <c r="R32" i="24"/>
  <c r="R28" i="24"/>
  <c r="R29" i="24"/>
  <c r="R30" i="24"/>
  <c r="R31" i="24"/>
  <c r="R10" i="24"/>
  <c r="R66" i="24"/>
  <c r="R58" i="24"/>
  <c r="R9" i="24"/>
  <c r="S5" i="24"/>
  <c r="R27" i="24"/>
  <c r="R8" i="24"/>
  <c r="R16" i="24"/>
  <c r="R7" i="24"/>
  <c r="R6" i="24"/>
  <c r="R4" i="24"/>
  <c r="R40" i="24"/>
  <c r="Q36" i="24"/>
  <c r="Q67" i="24"/>
  <c r="Q72" i="24" s="1"/>
  <c r="Q73" i="24" s="1"/>
  <c r="Q60" i="24"/>
  <c r="D44" i="30"/>
  <c r="B44" i="30"/>
  <c r="C44" i="30"/>
  <c r="A45" i="30"/>
  <c r="I45" i="30" l="1"/>
  <c r="R20" i="24"/>
  <c r="R21" i="24"/>
  <c r="R17" i="24"/>
  <c r="R18" i="24" s="1"/>
  <c r="R19" i="24" s="1"/>
  <c r="C29" i="28"/>
  <c r="D28" i="28"/>
  <c r="F57" i="27"/>
  <c r="F27" i="30"/>
  <c r="F25" i="28"/>
  <c r="E26" i="30" s="1"/>
  <c r="I20" i="28"/>
  <c r="E21" i="28" s="1"/>
  <c r="G21" i="28" s="1"/>
  <c r="Q37" i="24"/>
  <c r="Q13" i="24"/>
  <c r="Q87" i="24"/>
  <c r="Q90" i="24" s="1"/>
  <c r="R43" i="24"/>
  <c r="R41" i="24"/>
  <c r="R42" i="24"/>
  <c r="S84" i="24"/>
  <c r="S85" i="24"/>
  <c r="R60" i="24"/>
  <c r="R59" i="24"/>
  <c r="Q88" i="24"/>
  <c r="Q91" i="24" s="1"/>
  <c r="R44" i="24"/>
  <c r="R45" i="24"/>
  <c r="Q62" i="24"/>
  <c r="Q63" i="24" s="1"/>
  <c r="G31" i="27"/>
  <c r="H31" i="27" s="1"/>
  <c r="I31" i="27" s="1"/>
  <c r="E32" i="27" s="1"/>
  <c r="G32" i="27" s="1"/>
  <c r="H32" i="27" s="1"/>
  <c r="I32" i="27" s="1"/>
  <c r="E33" i="27" s="1"/>
  <c r="F28" i="30"/>
  <c r="R12" i="24"/>
  <c r="R36" i="24"/>
  <c r="S33" i="24"/>
  <c r="S34" i="24"/>
  <c r="S32" i="24"/>
  <c r="S28" i="24"/>
  <c r="S29" i="24"/>
  <c r="S30" i="24"/>
  <c r="S31" i="24"/>
  <c r="S6" i="24"/>
  <c r="S7" i="24"/>
  <c r="S9" i="24"/>
  <c r="S16" i="24"/>
  <c r="S40" i="24"/>
  <c r="S27" i="24"/>
  <c r="T5" i="24"/>
  <c r="S4" i="24"/>
  <c r="S66" i="24"/>
  <c r="S10" i="24"/>
  <c r="S58" i="24"/>
  <c r="S59" i="24" s="1"/>
  <c r="S8" i="24"/>
  <c r="Q52" i="24"/>
  <c r="Q53" i="24" s="1"/>
  <c r="R67" i="24"/>
  <c r="R72" i="24" s="1"/>
  <c r="R73" i="24" s="1"/>
  <c r="D45" i="30"/>
  <c r="B45" i="30"/>
  <c r="A46" i="30"/>
  <c r="C45" i="30"/>
  <c r="I46" i="30" l="1"/>
  <c r="S21" i="24"/>
  <c r="S17" i="24"/>
  <c r="S18" i="24" s="1"/>
  <c r="S19" i="24" s="1"/>
  <c r="D29" i="28"/>
  <c r="C30" i="28"/>
  <c r="F58" i="27"/>
  <c r="F26" i="28"/>
  <c r="E27" i="30" s="1"/>
  <c r="H21" i="28"/>
  <c r="S20" i="24" s="1"/>
  <c r="R52" i="24"/>
  <c r="R53" i="24" s="1"/>
  <c r="R37" i="24"/>
  <c r="S43" i="24"/>
  <c r="S41" i="24"/>
  <c r="S42" i="24"/>
  <c r="S44" i="24"/>
  <c r="S45" i="24"/>
  <c r="R88" i="24"/>
  <c r="R91" i="24" s="1"/>
  <c r="T84" i="24"/>
  <c r="T85" i="24"/>
  <c r="R87" i="24"/>
  <c r="R90" i="24" s="1"/>
  <c r="G33" i="27"/>
  <c r="H33" i="27" s="1"/>
  <c r="I33" i="27" s="1"/>
  <c r="E34" i="27" s="1"/>
  <c r="S36" i="24"/>
  <c r="S12" i="24"/>
  <c r="T33" i="24"/>
  <c r="T34" i="24"/>
  <c r="T32" i="24"/>
  <c r="T28" i="24"/>
  <c r="T29" i="24"/>
  <c r="T30" i="24"/>
  <c r="T31" i="24"/>
  <c r="U5" i="24"/>
  <c r="T7" i="24"/>
  <c r="T6" i="24"/>
  <c r="T4" i="24"/>
  <c r="T58" i="24"/>
  <c r="T59" i="24" s="1"/>
  <c r="T66" i="24"/>
  <c r="T16" i="24"/>
  <c r="T27" i="24"/>
  <c r="T40" i="24"/>
  <c r="T10" i="24"/>
  <c r="T8" i="24"/>
  <c r="S67" i="24"/>
  <c r="S72" i="24" s="1"/>
  <c r="S60" i="24"/>
  <c r="R13" i="24"/>
  <c r="S73" i="24"/>
  <c r="D46" i="30"/>
  <c r="B46" i="30"/>
  <c r="C46" i="30"/>
  <c r="A47" i="30"/>
  <c r="U84" i="24" l="1"/>
  <c r="I47" i="30"/>
  <c r="T21" i="24"/>
  <c r="T17" i="24"/>
  <c r="T18" i="24" s="1"/>
  <c r="T19" i="24" s="1"/>
  <c r="D30" i="28"/>
  <c r="C31" i="28"/>
  <c r="F59" i="27"/>
  <c r="F60" i="27" s="1"/>
  <c r="F29" i="30"/>
  <c r="F27" i="28"/>
  <c r="E28" i="30" s="1"/>
  <c r="I21" i="28"/>
  <c r="E22" i="28" s="1"/>
  <c r="G22" i="28" s="1"/>
  <c r="S87" i="24"/>
  <c r="S90" i="24" s="1"/>
  <c r="S52" i="24"/>
  <c r="S53" i="24" s="1"/>
  <c r="S37" i="24"/>
  <c r="S88" i="24"/>
  <c r="S91" i="24" s="1"/>
  <c r="T43" i="24"/>
  <c r="T41" i="24"/>
  <c r="T42" i="24"/>
  <c r="G34" i="27"/>
  <c r="H34" i="27" s="1"/>
  <c r="I34" i="27" s="1"/>
  <c r="E35" i="27" s="1"/>
  <c r="G35" i="27" s="1"/>
  <c r="H35" i="27" s="1"/>
  <c r="I35" i="27" s="1"/>
  <c r="E36" i="27" s="1"/>
  <c r="S13" i="24"/>
  <c r="U33" i="24"/>
  <c r="U34" i="24"/>
  <c r="U28" i="24"/>
  <c r="U32" i="24"/>
  <c r="U29" i="24"/>
  <c r="U30" i="24"/>
  <c r="U31" i="24"/>
  <c r="U8" i="24"/>
  <c r="U7" i="24"/>
  <c r="U4" i="24"/>
  <c r="U16" i="24"/>
  <c r="V5" i="24"/>
  <c r="V84" i="24" s="1"/>
  <c r="U6" i="24"/>
  <c r="U66" i="24"/>
  <c r="U58" i="24"/>
  <c r="U59" i="24" s="1"/>
  <c r="U27" i="24"/>
  <c r="U40" i="24"/>
  <c r="U10" i="24"/>
  <c r="R62" i="24"/>
  <c r="R63" i="24" s="1"/>
  <c r="T36" i="24"/>
  <c r="T60" i="24"/>
  <c r="T67" i="24"/>
  <c r="T72" i="24" s="1"/>
  <c r="T73" i="24" s="1"/>
  <c r="D47" i="30"/>
  <c r="B47" i="30"/>
  <c r="A48" i="30"/>
  <c r="C47" i="30"/>
  <c r="I48" i="30" l="1"/>
  <c r="U17" i="24"/>
  <c r="U18" i="24" s="1"/>
  <c r="U19" i="24" s="1"/>
  <c r="D31" i="28"/>
  <c r="C32" i="28"/>
  <c r="F61" i="27"/>
  <c r="F28" i="28"/>
  <c r="E29" i="30" s="1"/>
  <c r="H22" i="28"/>
  <c r="T20" i="24" s="1"/>
  <c r="T44" i="24"/>
  <c r="T52" i="24"/>
  <c r="T53" i="24" s="1"/>
  <c r="T37" i="24"/>
  <c r="U43" i="24"/>
  <c r="U41" i="24"/>
  <c r="U42" i="24"/>
  <c r="G36" i="27"/>
  <c r="H36" i="27" s="1"/>
  <c r="I36" i="27" s="1"/>
  <c r="E37" i="27" s="1"/>
  <c r="U36" i="24"/>
  <c r="S62" i="24"/>
  <c r="S63" i="24" s="1"/>
  <c r="U60" i="24"/>
  <c r="U67" i="24"/>
  <c r="U72" i="24" s="1"/>
  <c r="U73" i="24" s="1"/>
  <c r="V33" i="24"/>
  <c r="V34" i="24"/>
  <c r="V28" i="24"/>
  <c r="V32" i="24"/>
  <c r="V29" i="24"/>
  <c r="V30" i="24"/>
  <c r="V31" i="24"/>
  <c r="V4" i="24"/>
  <c r="V6" i="24"/>
  <c r="V8" i="24"/>
  <c r="V9" i="24"/>
  <c r="V7" i="24"/>
  <c r="V27" i="24"/>
  <c r="W5" i="24"/>
  <c r="V10" i="24"/>
  <c r="V58" i="24"/>
  <c r="V59" i="24" s="1"/>
  <c r="V40" i="24"/>
  <c r="V66" i="24"/>
  <c r="V16" i="24"/>
  <c r="D48" i="30"/>
  <c r="C48" i="30"/>
  <c r="B48" i="30"/>
  <c r="A49" i="30"/>
  <c r="W84" i="24" l="1"/>
  <c r="I49" i="30"/>
  <c r="V21" i="24"/>
  <c r="V17" i="24"/>
  <c r="V18" i="24" s="1"/>
  <c r="V19" i="24" s="1"/>
  <c r="D32" i="28"/>
  <c r="C33" i="28"/>
  <c r="F62" i="27"/>
  <c r="F29" i="28"/>
  <c r="U52" i="24"/>
  <c r="I52" i="24" s="1"/>
  <c r="I22" i="28"/>
  <c r="E23" i="28" s="1"/>
  <c r="G23" i="28" s="1"/>
  <c r="T87" i="24"/>
  <c r="T90" i="24" s="1"/>
  <c r="U37" i="24"/>
  <c r="V45" i="24"/>
  <c r="V43" i="24"/>
  <c r="V41" i="24"/>
  <c r="V42" i="24"/>
  <c r="G37" i="27"/>
  <c r="H37" i="27" s="1"/>
  <c r="I37" i="27" s="1"/>
  <c r="E38" i="27" s="1"/>
  <c r="G38" i="27" s="1"/>
  <c r="H38" i="27" s="1"/>
  <c r="I38" i="27" s="1"/>
  <c r="E39" i="27" s="1"/>
  <c r="V12" i="24"/>
  <c r="V60" i="24"/>
  <c r="V67" i="24"/>
  <c r="V72" i="24" s="1"/>
  <c r="V73" i="24" s="1"/>
  <c r="W33" i="24"/>
  <c r="W34" i="24"/>
  <c r="W32" i="24"/>
  <c r="W28" i="24"/>
  <c r="W29" i="24"/>
  <c r="W30" i="24"/>
  <c r="W31" i="24"/>
  <c r="W40" i="24"/>
  <c r="W27" i="24"/>
  <c r="W4" i="24"/>
  <c r="W6" i="24"/>
  <c r="W7" i="24"/>
  <c r="X5" i="24"/>
  <c r="W9" i="24"/>
  <c r="W58" i="24"/>
  <c r="W59" i="24" s="1"/>
  <c r="W10" i="24"/>
  <c r="W16" i="24"/>
  <c r="W66" i="24"/>
  <c r="W8" i="24"/>
  <c r="T62" i="24"/>
  <c r="T63" i="24" s="1"/>
  <c r="V36" i="24"/>
  <c r="D49" i="30"/>
  <c r="C49" i="30"/>
  <c r="A50" i="30"/>
  <c r="B49" i="30"/>
  <c r="I50" i="30" l="1"/>
  <c r="W45" i="24"/>
  <c r="W21" i="24"/>
  <c r="W88" i="24" s="1"/>
  <c r="W17" i="24"/>
  <c r="W18" i="24" s="1"/>
  <c r="W19" i="24" s="1"/>
  <c r="C34" i="28"/>
  <c r="D33" i="28"/>
  <c r="F63" i="27"/>
  <c r="F30" i="28"/>
  <c r="E31" i="30" s="1"/>
  <c r="V88" i="24"/>
  <c r="U53" i="24"/>
  <c r="H23" i="28"/>
  <c r="U20" i="24" s="1"/>
  <c r="V52" i="24"/>
  <c r="V37" i="24"/>
  <c r="W43" i="24"/>
  <c r="W41" i="24"/>
  <c r="W42" i="24"/>
  <c r="G39" i="27"/>
  <c r="H39" i="27" s="1"/>
  <c r="I39" i="27" s="1"/>
  <c r="E40" i="27" s="1"/>
  <c r="U62" i="24"/>
  <c r="U63" i="24" s="1"/>
  <c r="X32" i="24"/>
  <c r="X33" i="24"/>
  <c r="X34" i="24"/>
  <c r="X28" i="24"/>
  <c r="X29" i="24"/>
  <c r="X30" i="24"/>
  <c r="X31" i="24"/>
  <c r="X66" i="24"/>
  <c r="X8" i="24"/>
  <c r="Y5" i="24"/>
  <c r="X58" i="24"/>
  <c r="X59" i="24" s="1"/>
  <c r="X10" i="24"/>
  <c r="X7" i="24"/>
  <c r="X6" i="24"/>
  <c r="X9" i="24"/>
  <c r="X4" i="24"/>
  <c r="X16" i="24"/>
  <c r="X40" i="24"/>
  <c r="X27" i="24"/>
  <c r="W36" i="24"/>
  <c r="W67" i="24"/>
  <c r="W72" i="24" s="1"/>
  <c r="W73" i="24" s="1"/>
  <c r="W60" i="24"/>
  <c r="W12" i="24"/>
  <c r="D50" i="30"/>
  <c r="B50" i="30"/>
  <c r="C50" i="30"/>
  <c r="A51" i="30"/>
  <c r="I51" i="30" l="1"/>
  <c r="X45" i="24"/>
  <c r="X21" i="24"/>
  <c r="X88" i="24" s="1"/>
  <c r="X17" i="24"/>
  <c r="X18" i="24" s="1"/>
  <c r="X19" i="24" s="1"/>
  <c r="C35" i="28"/>
  <c r="D34" i="28"/>
  <c r="F64" i="27"/>
  <c r="V53" i="24"/>
  <c r="F31" i="28"/>
  <c r="I23" i="28"/>
  <c r="E24" i="28" s="1"/>
  <c r="G24" i="28" s="1"/>
  <c r="W52" i="24"/>
  <c r="W37" i="24"/>
  <c r="X43" i="24"/>
  <c r="X41" i="24"/>
  <c r="X42" i="24"/>
  <c r="G40" i="27"/>
  <c r="H40" i="27" s="1"/>
  <c r="I40" i="27" s="1"/>
  <c r="E41" i="27" s="1"/>
  <c r="X36" i="24"/>
  <c r="V62" i="24"/>
  <c r="V63" i="24" s="1"/>
  <c r="X12" i="24"/>
  <c r="X60" i="24"/>
  <c r="X67" i="24"/>
  <c r="X72" i="24" s="1"/>
  <c r="X73" i="24" s="1"/>
  <c r="Y33" i="24"/>
  <c r="Y34" i="24"/>
  <c r="Y28" i="24"/>
  <c r="Y32" i="24"/>
  <c r="Y29" i="24"/>
  <c r="Y30" i="24"/>
  <c r="Y31" i="24"/>
  <c r="Y16" i="24"/>
  <c r="Y66" i="24"/>
  <c r="Y4" i="24"/>
  <c r="Y27" i="24"/>
  <c r="Z5" i="24"/>
  <c r="Y6" i="24"/>
  <c r="Y7" i="24"/>
  <c r="Y9" i="24"/>
  <c r="Y8" i="24"/>
  <c r="Y58" i="24"/>
  <c r="Y59" i="24" s="1"/>
  <c r="Y10" i="24"/>
  <c r="Y40" i="24"/>
  <c r="D51" i="30"/>
  <c r="A52" i="30"/>
  <c r="C51" i="30"/>
  <c r="B51" i="30"/>
  <c r="I52" i="30" l="1"/>
  <c r="Y45" i="24"/>
  <c r="Y21" i="24"/>
  <c r="Y17" i="24"/>
  <c r="Y18" i="24"/>
  <c r="Y19" i="24" s="1"/>
  <c r="C36" i="28"/>
  <c r="D35" i="28"/>
  <c r="F65" i="27"/>
  <c r="W53" i="24"/>
  <c r="F32" i="28"/>
  <c r="H24" i="28"/>
  <c r="V20" i="24" s="1"/>
  <c r="V44" i="24"/>
  <c r="X52" i="24"/>
  <c r="X37" i="24"/>
  <c r="Y43" i="24"/>
  <c r="Y41" i="24"/>
  <c r="Y42" i="24"/>
  <c r="G41" i="27"/>
  <c r="H41" i="27" s="1"/>
  <c r="I41" i="27" s="1"/>
  <c r="E42" i="27" s="1"/>
  <c r="Y36" i="24"/>
  <c r="Y12" i="24"/>
  <c r="Y67" i="24"/>
  <c r="Y72" i="24" s="1"/>
  <c r="Y73" i="24" s="1"/>
  <c r="Y60" i="24"/>
  <c r="Z33" i="24"/>
  <c r="Z34" i="24"/>
  <c r="Z32" i="24"/>
  <c r="Z28" i="24"/>
  <c r="Z29" i="24"/>
  <c r="Z30" i="24"/>
  <c r="Z31" i="24"/>
  <c r="Z40" i="24"/>
  <c r="Z58" i="24"/>
  <c r="Z59" i="24" s="1"/>
  <c r="Z66" i="24"/>
  <c r="Z6" i="24"/>
  <c r="AA5" i="24"/>
  <c r="Z10" i="24"/>
  <c r="Z16" i="24"/>
  <c r="Z4" i="24"/>
  <c r="Z8" i="24"/>
  <c r="Z7" i="24"/>
  <c r="Z9" i="24"/>
  <c r="Z27" i="24"/>
  <c r="W62" i="24"/>
  <c r="W63" i="24" s="1"/>
  <c r="D52" i="30"/>
  <c r="C52" i="30"/>
  <c r="B52" i="30"/>
  <c r="A53" i="30"/>
  <c r="Y88" i="24" l="1"/>
  <c r="Z45" i="24"/>
  <c r="Z21" i="24"/>
  <c r="Z88" i="24" s="1"/>
  <c r="Z17" i="24"/>
  <c r="Z18" i="24" s="1"/>
  <c r="Z19" i="24" s="1"/>
  <c r="D36" i="28"/>
  <c r="C37" i="28"/>
  <c r="F66" i="27"/>
  <c r="X53" i="24"/>
  <c r="F33" i="28"/>
  <c r="Y52" i="24"/>
  <c r="V47" i="24"/>
  <c r="V50" i="24"/>
  <c r="I24" i="28"/>
  <c r="E25" i="28" s="1"/>
  <c r="G25" i="28" s="1"/>
  <c r="H25" i="28" s="1"/>
  <c r="W20" i="24" s="1"/>
  <c r="V87" i="24"/>
  <c r="V90" i="24" s="1"/>
  <c r="Y37" i="24"/>
  <c r="Z43" i="24"/>
  <c r="Z41" i="24"/>
  <c r="Z42" i="24"/>
  <c r="G42" i="27"/>
  <c r="H42" i="27" s="1"/>
  <c r="I42" i="27" s="1"/>
  <c r="E43" i="27" s="1"/>
  <c r="Z36" i="24"/>
  <c r="AA34" i="24"/>
  <c r="AA28" i="24"/>
  <c r="AA33" i="24"/>
  <c r="AA32" i="24"/>
  <c r="AA29" i="24"/>
  <c r="AA30" i="24"/>
  <c r="AA31" i="24"/>
  <c r="AA27" i="24"/>
  <c r="AA16" i="24"/>
  <c r="AA40" i="24"/>
  <c r="AB5" i="24"/>
  <c r="AA4" i="24"/>
  <c r="AA6" i="24"/>
  <c r="AA58" i="24"/>
  <c r="AA59" i="24" s="1"/>
  <c r="AA8" i="24"/>
  <c r="AA10" i="24"/>
  <c r="AA7" i="24"/>
  <c r="AA9" i="24"/>
  <c r="AA66" i="24"/>
  <c r="Z12" i="24"/>
  <c r="X62" i="24"/>
  <c r="X63" i="24" s="1"/>
  <c r="Z67" i="24"/>
  <c r="Z72" i="24" s="1"/>
  <c r="Z73" i="24" s="1"/>
  <c r="Z60" i="24"/>
  <c r="D53" i="30"/>
  <c r="B53" i="30"/>
  <c r="C53" i="30"/>
  <c r="A54" i="30"/>
  <c r="Y53" i="24" l="1"/>
  <c r="AA45" i="24"/>
  <c r="AA21" i="24"/>
  <c r="AA17" i="24"/>
  <c r="AA18" i="24" s="1"/>
  <c r="AA19" i="24" s="1"/>
  <c r="D37" i="28"/>
  <c r="C38" i="28"/>
  <c r="F67" i="27"/>
  <c r="F34" i="28"/>
  <c r="Z52" i="24"/>
  <c r="Z53" i="24" s="1"/>
  <c r="I25" i="28"/>
  <c r="E26" i="28" s="1"/>
  <c r="G26" i="28" s="1"/>
  <c r="H26" i="28" s="1"/>
  <c r="X20" i="24" s="1"/>
  <c r="Z37" i="24"/>
  <c r="AA43" i="24"/>
  <c r="AA41" i="24"/>
  <c r="AA42" i="24"/>
  <c r="AA12" i="24"/>
  <c r="G43" i="27"/>
  <c r="H43" i="27" s="1"/>
  <c r="I43" i="27" s="1"/>
  <c r="E44" i="27" s="1"/>
  <c r="AA36" i="24"/>
  <c r="AB33" i="24"/>
  <c r="AB34" i="24"/>
  <c r="AB28" i="24"/>
  <c r="AB32" i="24"/>
  <c r="AB29" i="24"/>
  <c r="AB30" i="24"/>
  <c r="AB31" i="24"/>
  <c r="AB6" i="24"/>
  <c r="AB7" i="24"/>
  <c r="AB9" i="24"/>
  <c r="AB4" i="24"/>
  <c r="AB58" i="24"/>
  <c r="AB59" i="24" s="1"/>
  <c r="AB8" i="24"/>
  <c r="AB27" i="24"/>
  <c r="AB10" i="24"/>
  <c r="AB16" i="24"/>
  <c r="AB66" i="24"/>
  <c r="AC5" i="24"/>
  <c r="AB40" i="24"/>
  <c r="Y62" i="24"/>
  <c r="Y63" i="24" s="1"/>
  <c r="AA60" i="24"/>
  <c r="AA67" i="24"/>
  <c r="AA72" i="24" s="1"/>
  <c r="AA73" i="24" s="1"/>
  <c r="D54" i="30"/>
  <c r="A55" i="30"/>
  <c r="C54" i="30"/>
  <c r="B54" i="30"/>
  <c r="AB45" i="24" l="1"/>
  <c r="AB21" i="24"/>
  <c r="AB17" i="24"/>
  <c r="AB18" i="24" s="1"/>
  <c r="AB19" i="24" s="1"/>
  <c r="D38" i="28"/>
  <c r="C39" i="28"/>
  <c r="F68" i="27"/>
  <c r="F35" i="28"/>
  <c r="I26" i="28"/>
  <c r="E27" i="28" s="1"/>
  <c r="G27" i="28" s="1"/>
  <c r="H27" i="28" s="1"/>
  <c r="Y20" i="24" s="1"/>
  <c r="AA37" i="24"/>
  <c r="AB43" i="24"/>
  <c r="AB41" i="24"/>
  <c r="AB42" i="24"/>
  <c r="G44" i="27"/>
  <c r="H44" i="27" s="1"/>
  <c r="I44" i="27" s="1"/>
  <c r="E45" i="27" s="1"/>
  <c r="AA88" i="24"/>
  <c r="AC33" i="24"/>
  <c r="AC34" i="24"/>
  <c r="AC32" i="24"/>
  <c r="AC28" i="24"/>
  <c r="AC29" i="24"/>
  <c r="AC30" i="24"/>
  <c r="AC31" i="24"/>
  <c r="AC40" i="24"/>
  <c r="AC27" i="24"/>
  <c r="AC6" i="24"/>
  <c r="AD5" i="24"/>
  <c r="AC4" i="24"/>
  <c r="AC7" i="24"/>
  <c r="AC16" i="24"/>
  <c r="AC9" i="24"/>
  <c r="AC10" i="24"/>
  <c r="AC8" i="24"/>
  <c r="AC58" i="24"/>
  <c r="AC59" i="24" s="1"/>
  <c r="AC66" i="24"/>
  <c r="AA52" i="24"/>
  <c r="AA53" i="24" s="1"/>
  <c r="AB36" i="24"/>
  <c r="AB67" i="24"/>
  <c r="AB72" i="24" s="1"/>
  <c r="AB73" i="24" s="1"/>
  <c r="AB60" i="24"/>
  <c r="AB12" i="24"/>
  <c r="D55" i="30"/>
  <c r="C55" i="30"/>
  <c r="B55" i="30"/>
  <c r="A56" i="30"/>
  <c r="AC45" i="24" l="1"/>
  <c r="AC21" i="24"/>
  <c r="AC17" i="24"/>
  <c r="AC18" i="24" s="1"/>
  <c r="AC19" i="24" s="1"/>
  <c r="D39" i="28"/>
  <c r="C40" i="28"/>
  <c r="F69" i="27"/>
  <c r="F36" i="28"/>
  <c r="AB52" i="24"/>
  <c r="AB53" i="24" s="1"/>
  <c r="I27" i="28"/>
  <c r="E28" i="28" s="1"/>
  <c r="G28" i="28" s="1"/>
  <c r="H28" i="28" s="1"/>
  <c r="Z20" i="24" s="1"/>
  <c r="AB37" i="24"/>
  <c r="AC43" i="24"/>
  <c r="AC41" i="24"/>
  <c r="AC42" i="24"/>
  <c r="G45" i="27"/>
  <c r="H45" i="27" s="1"/>
  <c r="I45" i="27" s="1"/>
  <c r="E46" i="27" s="1"/>
  <c r="G46" i="27" s="1"/>
  <c r="H46" i="27" s="1"/>
  <c r="I46" i="27" s="1"/>
  <c r="E47" i="27" s="1"/>
  <c r="AB88" i="24"/>
  <c r="AC12" i="24"/>
  <c r="Z62" i="24"/>
  <c r="Z63" i="24" s="1"/>
  <c r="AC60" i="24"/>
  <c r="AC67" i="24"/>
  <c r="AC72" i="24" s="1"/>
  <c r="AC73" i="24" s="1"/>
  <c r="AC36" i="24"/>
  <c r="AD33" i="24"/>
  <c r="AD34" i="24"/>
  <c r="AD32" i="24"/>
  <c r="AD28" i="24"/>
  <c r="AD29" i="24"/>
  <c r="AD30" i="24"/>
  <c r="AD31" i="24"/>
  <c r="AD10" i="24"/>
  <c r="AE5" i="24"/>
  <c r="AD58" i="24"/>
  <c r="AD59" i="24" s="1"/>
  <c r="AD9" i="24"/>
  <c r="AD16" i="24"/>
  <c r="AD4" i="24"/>
  <c r="AD6" i="24"/>
  <c r="AD7" i="24"/>
  <c r="AD8" i="24"/>
  <c r="AD40" i="24"/>
  <c r="AD27" i="24"/>
  <c r="AD66" i="24"/>
  <c r="D56" i="30"/>
  <c r="B56" i="30"/>
  <c r="A57" i="30"/>
  <c r="C56" i="30"/>
  <c r="AC88" i="24" l="1"/>
  <c r="AD45" i="24"/>
  <c r="AD21" i="24"/>
  <c r="AD88" i="24" s="1"/>
  <c r="AD17" i="24"/>
  <c r="AD18" i="24" s="1"/>
  <c r="AD19" i="24" s="1"/>
  <c r="C41" i="28"/>
  <c r="D40" i="28"/>
  <c r="F70" i="27"/>
  <c r="F37" i="28"/>
  <c r="I28" i="28"/>
  <c r="E29" i="28" s="1"/>
  <c r="G29" i="28" s="1"/>
  <c r="H29" i="28" s="1"/>
  <c r="AA20" i="24" s="1"/>
  <c r="AC37" i="24"/>
  <c r="AD43" i="24"/>
  <c r="AD41" i="24"/>
  <c r="AD42" i="24"/>
  <c r="G47" i="27"/>
  <c r="H47" i="27" s="1"/>
  <c r="I47" i="27" s="1"/>
  <c r="E48" i="27" s="1"/>
  <c r="AC52" i="24"/>
  <c r="AC53" i="24" s="1"/>
  <c r="AE33" i="24"/>
  <c r="AE34" i="24"/>
  <c r="AE32" i="24"/>
  <c r="AE28" i="24"/>
  <c r="AE29" i="24"/>
  <c r="AE30" i="24"/>
  <c r="AE31" i="24"/>
  <c r="AE4" i="24"/>
  <c r="AE10" i="24"/>
  <c r="AF5" i="24"/>
  <c r="AE66" i="24"/>
  <c r="AE9" i="24"/>
  <c r="AE58" i="24"/>
  <c r="AE59" i="24" s="1"/>
  <c r="AE7" i="24"/>
  <c r="AE16" i="24"/>
  <c r="AE6" i="24"/>
  <c r="AE40" i="24"/>
  <c r="AE8" i="24"/>
  <c r="AE27" i="24"/>
  <c r="AD36" i="24"/>
  <c r="AD67" i="24"/>
  <c r="AD72" i="24" s="1"/>
  <c r="AD73" i="24" s="1"/>
  <c r="AD60" i="24"/>
  <c r="AA62" i="24"/>
  <c r="AD12" i="24"/>
  <c r="D57" i="30"/>
  <c r="C57" i="30"/>
  <c r="B57" i="30"/>
  <c r="A58" i="30"/>
  <c r="AE45" i="24" l="1"/>
  <c r="AE21" i="24"/>
  <c r="AE88" i="24" s="1"/>
  <c r="AE17" i="24"/>
  <c r="AE18" i="24" s="1"/>
  <c r="AE19" i="24" s="1"/>
  <c r="D41" i="28"/>
  <c r="C42" i="28"/>
  <c r="F71" i="27"/>
  <c r="F38" i="28"/>
  <c r="I29" i="28"/>
  <c r="E30" i="28" s="1"/>
  <c r="G30" i="28" s="1"/>
  <c r="H30" i="28" s="1"/>
  <c r="AB20" i="24" s="1"/>
  <c r="AA23" i="24"/>
  <c r="AD37" i="24"/>
  <c r="AD52" i="24"/>
  <c r="AD53" i="24" s="1"/>
  <c r="AE43" i="24"/>
  <c r="AE41" i="24"/>
  <c r="AE42" i="24"/>
  <c r="G48" i="27"/>
  <c r="H48" i="27" s="1"/>
  <c r="I48" i="27" s="1"/>
  <c r="E49" i="27" s="1"/>
  <c r="AE67" i="24"/>
  <c r="AE72" i="24" s="1"/>
  <c r="AE73" i="24" s="1"/>
  <c r="AE60" i="24"/>
  <c r="AE12" i="24"/>
  <c r="AF33" i="24"/>
  <c r="AF34" i="24"/>
  <c r="AF32" i="24"/>
  <c r="AF28" i="24"/>
  <c r="AF29" i="24"/>
  <c r="AF30" i="24"/>
  <c r="AF31" i="24"/>
  <c r="AF16" i="24"/>
  <c r="AF10" i="24"/>
  <c r="AF8" i="24"/>
  <c r="AF7" i="24"/>
  <c r="AF66" i="24"/>
  <c r="AG5" i="24"/>
  <c r="AF27" i="24"/>
  <c r="AF40" i="24"/>
  <c r="AF6" i="24"/>
  <c r="AF58" i="24"/>
  <c r="AF59" i="24" s="1"/>
  <c r="AF4" i="24"/>
  <c r="AF9" i="24"/>
  <c r="AA63" i="24"/>
  <c r="AC62" i="24"/>
  <c r="AE36" i="24"/>
  <c r="AB62" i="24"/>
  <c r="D58" i="30"/>
  <c r="B58" i="30"/>
  <c r="C58" i="30"/>
  <c r="A59" i="30"/>
  <c r="AF45" i="24" l="1"/>
  <c r="AF21" i="24"/>
  <c r="AF17" i="24"/>
  <c r="AF18" i="24" s="1"/>
  <c r="AF19" i="24" s="1"/>
  <c r="D42" i="28"/>
  <c r="C43" i="28"/>
  <c r="F72" i="27"/>
  <c r="F73" i="27" s="1"/>
  <c r="F39" i="28"/>
  <c r="I30" i="28"/>
  <c r="E31" i="28" s="1"/>
  <c r="G31" i="28" s="1"/>
  <c r="H31" i="28" s="1"/>
  <c r="AC20" i="24" s="1"/>
  <c r="AB23" i="24"/>
  <c r="AE52" i="24"/>
  <c r="AE53" i="24" s="1"/>
  <c r="AE37" i="24"/>
  <c r="AF43" i="24"/>
  <c r="AF41" i="24"/>
  <c r="AF42" i="24"/>
  <c r="G49" i="27"/>
  <c r="H49" i="27" s="1"/>
  <c r="I49" i="27" s="1"/>
  <c r="E50" i="27" s="1"/>
  <c r="AD62" i="24"/>
  <c r="AB63" i="24"/>
  <c r="AC63" i="24" s="1"/>
  <c r="AF67" i="24"/>
  <c r="AF72" i="24" s="1"/>
  <c r="AF73" i="24" s="1"/>
  <c r="AF60" i="24"/>
  <c r="AF12" i="24"/>
  <c r="AF36" i="24"/>
  <c r="AG34" i="24"/>
  <c r="AG33" i="24"/>
  <c r="AG32" i="24"/>
  <c r="AG28" i="24"/>
  <c r="AG29" i="24"/>
  <c r="AG30" i="24"/>
  <c r="AG31" i="24"/>
  <c r="AG7" i="24"/>
  <c r="AG8" i="24"/>
  <c r="AG58" i="24"/>
  <c r="AG59" i="24" s="1"/>
  <c r="AG9" i="24"/>
  <c r="AG4" i="24"/>
  <c r="AG10" i="24"/>
  <c r="AG6" i="24"/>
  <c r="AG66" i="24"/>
  <c r="AG16" i="24"/>
  <c r="AG27" i="24"/>
  <c r="AH5" i="24"/>
  <c r="AG40" i="24"/>
  <c r="D59" i="30"/>
  <c r="B59" i="30"/>
  <c r="C59" i="30"/>
  <c r="A60" i="30"/>
  <c r="AF88" i="24" l="1"/>
  <c r="AG45" i="24"/>
  <c r="AG21" i="24"/>
  <c r="AG88" i="24" s="1"/>
  <c r="AG17" i="24"/>
  <c r="AG18" i="24" s="1"/>
  <c r="AG19" i="24" s="1"/>
  <c r="C44" i="28"/>
  <c r="D43" i="28"/>
  <c r="F74" i="27"/>
  <c r="F40" i="28"/>
  <c r="I31" i="28"/>
  <c r="E32" i="28" s="1"/>
  <c r="G32" i="28" s="1"/>
  <c r="H32" i="28" s="1"/>
  <c r="AD20" i="24" s="1"/>
  <c r="AC23" i="24"/>
  <c r="AF52" i="24"/>
  <c r="AF53" i="24" s="1"/>
  <c r="AF37" i="24"/>
  <c r="AG43" i="24"/>
  <c r="AG41" i="24"/>
  <c r="AG42" i="24"/>
  <c r="G50" i="27"/>
  <c r="H50" i="27" s="1"/>
  <c r="I50" i="27" s="1"/>
  <c r="E51" i="27" s="1"/>
  <c r="AH34" i="24"/>
  <c r="AH28" i="24"/>
  <c r="AH33" i="24"/>
  <c r="AH32" i="24"/>
  <c r="AH29" i="24"/>
  <c r="AH30" i="24"/>
  <c r="AH31" i="24"/>
  <c r="AI5" i="24"/>
  <c r="AH10" i="24"/>
  <c r="AH4" i="24"/>
  <c r="AH8" i="24"/>
  <c r="AH40" i="24"/>
  <c r="AH27" i="24"/>
  <c r="AH58" i="24"/>
  <c r="AH59" i="24" s="1"/>
  <c r="AH16" i="24"/>
  <c r="AH66" i="24"/>
  <c r="AH6" i="24"/>
  <c r="AH7" i="24"/>
  <c r="AH9" i="24"/>
  <c r="AG67" i="24"/>
  <c r="AG72" i="24" s="1"/>
  <c r="AG73" i="24" s="1"/>
  <c r="AG60" i="24"/>
  <c r="AG36" i="24"/>
  <c r="AD63" i="24"/>
  <c r="AG12" i="24"/>
  <c r="AE62" i="24"/>
  <c r="D60" i="30"/>
  <c r="C60" i="30"/>
  <c r="A61" i="30"/>
  <c r="B60" i="30"/>
  <c r="AH45" i="24" l="1"/>
  <c r="AH21" i="24"/>
  <c r="AH17" i="24"/>
  <c r="AH18" i="24" s="1"/>
  <c r="AH19" i="24" s="1"/>
  <c r="D44" i="28"/>
  <c r="C45" i="28"/>
  <c r="F75" i="27"/>
  <c r="F41" i="28"/>
  <c r="AG52" i="24"/>
  <c r="AG53" i="24" s="1"/>
  <c r="I32" i="28"/>
  <c r="E33" i="28" s="1"/>
  <c r="G33" i="28" s="1"/>
  <c r="H33" i="28" s="1"/>
  <c r="AE20" i="24" s="1"/>
  <c r="AD23" i="24"/>
  <c r="AG37" i="24"/>
  <c r="AH43" i="24"/>
  <c r="AH41" i="24"/>
  <c r="AH42" i="24"/>
  <c r="G51" i="27"/>
  <c r="H51" i="27" s="1"/>
  <c r="I51" i="27" s="1"/>
  <c r="E52" i="27" s="1"/>
  <c r="AH12" i="24"/>
  <c r="AE63" i="24"/>
  <c r="AI34" i="24"/>
  <c r="AI28" i="24"/>
  <c r="AI33" i="24"/>
  <c r="AI32" i="24"/>
  <c r="AI29" i="24"/>
  <c r="AI30" i="24"/>
  <c r="AI31" i="24"/>
  <c r="AI9" i="24"/>
  <c r="AI6" i="24"/>
  <c r="AJ5" i="24"/>
  <c r="AI10" i="24"/>
  <c r="AI66" i="24"/>
  <c r="AI27" i="24"/>
  <c r="AI7" i="24"/>
  <c r="AI40" i="24"/>
  <c r="AI8" i="24"/>
  <c r="AI4" i="24"/>
  <c r="AI58" i="24"/>
  <c r="AI59" i="24" s="1"/>
  <c r="AI16" i="24"/>
  <c r="AF62" i="24"/>
  <c r="AH67" i="24"/>
  <c r="AH72" i="24" s="1"/>
  <c r="AH73" i="24" s="1"/>
  <c r="AH60" i="24"/>
  <c r="AH36" i="24"/>
  <c r="D61" i="30"/>
  <c r="C61" i="30"/>
  <c r="A62" i="30"/>
  <c r="B61" i="30"/>
  <c r="AH88" i="24" l="1"/>
  <c r="AI45" i="24"/>
  <c r="AI21" i="24"/>
  <c r="AI88" i="24" s="1"/>
  <c r="AI17" i="24"/>
  <c r="AI18" i="24" s="1"/>
  <c r="AI19" i="24" s="1"/>
  <c r="D45" i="28"/>
  <c r="C46" i="28"/>
  <c r="F76" i="27"/>
  <c r="F42" i="28"/>
  <c r="I33" i="28"/>
  <c r="E34" i="28" s="1"/>
  <c r="G34" i="28" s="1"/>
  <c r="H34" i="28" s="1"/>
  <c r="AF20" i="24" s="1"/>
  <c r="AE23" i="24"/>
  <c r="AH37" i="24"/>
  <c r="AI43" i="24"/>
  <c r="AI41" i="24"/>
  <c r="AI42" i="24"/>
  <c r="AI12" i="24"/>
  <c r="G52" i="27"/>
  <c r="H52" i="27" s="1"/>
  <c r="I52" i="27" s="1"/>
  <c r="AG62" i="24"/>
  <c r="AJ34" i="24"/>
  <c r="AJ28" i="24"/>
  <c r="AJ33" i="24"/>
  <c r="AJ32" i="24"/>
  <c r="AJ29" i="24"/>
  <c r="AJ30" i="24"/>
  <c r="AJ31" i="24"/>
  <c r="AJ7" i="24"/>
  <c r="AJ66" i="24"/>
  <c r="AJ6" i="24"/>
  <c r="AJ9" i="24"/>
  <c r="AJ40" i="24"/>
  <c r="AK5" i="24"/>
  <c r="AJ4" i="24"/>
  <c r="AJ10" i="24"/>
  <c r="AJ27" i="24"/>
  <c r="AJ58" i="24"/>
  <c r="AJ59" i="24" s="1"/>
  <c r="AJ8" i="24"/>
  <c r="AJ16" i="24"/>
  <c r="AI67" i="24"/>
  <c r="AI72" i="24" s="1"/>
  <c r="AI73" i="24" s="1"/>
  <c r="AI60" i="24"/>
  <c r="AI36" i="24"/>
  <c r="AH52" i="24"/>
  <c r="AH53" i="24" s="1"/>
  <c r="AF63" i="24"/>
  <c r="D62" i="30"/>
  <c r="C62" i="30"/>
  <c r="A63" i="30"/>
  <c r="B62" i="30"/>
  <c r="AJ45" i="24" l="1"/>
  <c r="AJ21" i="24"/>
  <c r="AJ88" i="24" s="1"/>
  <c r="AJ17" i="24"/>
  <c r="AJ18" i="24" s="1"/>
  <c r="AJ19" i="24" s="1"/>
  <c r="C47" i="28"/>
  <c r="D46" i="28"/>
  <c r="E53" i="27"/>
  <c r="D103" i="20"/>
  <c r="D107" i="20" s="1"/>
  <c r="AI52" i="24"/>
  <c r="AI53" i="24" s="1"/>
  <c r="G53" i="27"/>
  <c r="H53" i="27" s="1"/>
  <c r="I53" i="27" s="1"/>
  <c r="E54" i="27" s="1"/>
  <c r="G54" i="27" s="1"/>
  <c r="H54" i="27" s="1"/>
  <c r="I54" i="27" s="1"/>
  <c r="E55" i="27" s="1"/>
  <c r="G55" i="27" s="1"/>
  <c r="H55" i="27" s="1"/>
  <c r="I55" i="27" s="1"/>
  <c r="E56" i="27" s="1"/>
  <c r="G56" i="27" s="1"/>
  <c r="H56" i="27" s="1"/>
  <c r="I56" i="27" s="1"/>
  <c r="E57" i="27" s="1"/>
  <c r="G57" i="27" s="1"/>
  <c r="H57" i="27" s="1"/>
  <c r="I57" i="27" s="1"/>
  <c r="E58" i="27" s="1"/>
  <c r="F43" i="28"/>
  <c r="I34" i="28"/>
  <c r="E35" i="28" s="1"/>
  <c r="G35" i="28" s="1"/>
  <c r="H35" i="28" s="1"/>
  <c r="AG20" i="24" s="1"/>
  <c r="AF23" i="24"/>
  <c r="AI37" i="24"/>
  <c r="AJ43" i="24"/>
  <c r="AJ41" i="24"/>
  <c r="AJ42" i="24"/>
  <c r="AJ12" i="24"/>
  <c r="AJ67" i="24"/>
  <c r="AJ72" i="24" s="1"/>
  <c r="AJ73" i="24" s="1"/>
  <c r="AJ60" i="24"/>
  <c r="AJ36" i="24"/>
  <c r="AK33" i="24"/>
  <c r="AK34" i="24"/>
  <c r="AK28" i="24"/>
  <c r="AK32" i="24"/>
  <c r="AK29" i="24"/>
  <c r="AK30" i="24"/>
  <c r="AK31" i="24"/>
  <c r="AK9" i="24"/>
  <c r="AK4" i="24"/>
  <c r="AK10" i="24"/>
  <c r="AK16" i="24"/>
  <c r="AK6" i="24"/>
  <c r="AL5" i="24"/>
  <c r="AK7" i="24"/>
  <c r="AK27" i="24"/>
  <c r="AK58" i="24"/>
  <c r="AK59" i="24" s="1"/>
  <c r="AK8" i="24"/>
  <c r="AK66" i="24"/>
  <c r="AK40" i="24"/>
  <c r="AH62" i="24"/>
  <c r="AG63" i="24"/>
  <c r="D63" i="30"/>
  <c r="C63" i="30"/>
  <c r="A64" i="30"/>
  <c r="B63" i="30"/>
  <c r="AK45" i="24" l="1"/>
  <c r="AK21" i="24"/>
  <c r="AK88" i="24" s="1"/>
  <c r="AK17" i="24"/>
  <c r="AK18" i="24" s="1"/>
  <c r="AK19" i="24" s="1"/>
  <c r="C48" i="28"/>
  <c r="D47" i="28"/>
  <c r="G58" i="27"/>
  <c r="H58" i="27" s="1"/>
  <c r="I58" i="27" s="1"/>
  <c r="E59" i="27" s="1"/>
  <c r="G59" i="27" s="1"/>
  <c r="H59" i="27" s="1"/>
  <c r="I59" i="27" s="1"/>
  <c r="E60" i="27" s="1"/>
  <c r="G60" i="27" s="1"/>
  <c r="H60" i="27" s="1"/>
  <c r="I60" i="27" s="1"/>
  <c r="E61" i="27" s="1"/>
  <c r="G61" i="27" s="1"/>
  <c r="H61" i="27" s="1"/>
  <c r="I61" i="27" s="1"/>
  <c r="E62" i="27" s="1"/>
  <c r="G62" i="27" s="1"/>
  <c r="H62" i="27" s="1"/>
  <c r="I62" i="27" s="1"/>
  <c r="E63" i="27" s="1"/>
  <c r="G63" i="27" s="1"/>
  <c r="H63" i="27" s="1"/>
  <c r="I63" i="27" s="1"/>
  <c r="E64" i="27" s="1"/>
  <c r="G64" i="27" s="1"/>
  <c r="H64" i="27" s="1"/>
  <c r="I64" i="27" s="1"/>
  <c r="E65" i="27" s="1"/>
  <c r="G65" i="27" s="1"/>
  <c r="H65" i="27" s="1"/>
  <c r="I65" i="27" s="1"/>
  <c r="E66" i="27" s="1"/>
  <c r="G66" i="27" s="1"/>
  <c r="H66" i="27" s="1"/>
  <c r="I66" i="27" s="1"/>
  <c r="E67" i="27" s="1"/>
  <c r="G67" i="27" s="1"/>
  <c r="H67" i="27" s="1"/>
  <c r="I67" i="27" s="1"/>
  <c r="E68" i="27" s="1"/>
  <c r="G68" i="27" s="1"/>
  <c r="H68" i="27" s="1"/>
  <c r="I68" i="27" s="1"/>
  <c r="E69" i="27" s="1"/>
  <c r="G69" i="27" s="1"/>
  <c r="H69" i="27" s="1"/>
  <c r="I69" i="27" s="1"/>
  <c r="E70" i="27" s="1"/>
  <c r="G70" i="27" s="1"/>
  <c r="H70" i="27" s="1"/>
  <c r="I70" i="27" s="1"/>
  <c r="E71" i="27" s="1"/>
  <c r="G71" i="27" s="1"/>
  <c r="H71" i="27" s="1"/>
  <c r="I71" i="27" s="1"/>
  <c r="E72" i="27" s="1"/>
  <c r="G72" i="27" s="1"/>
  <c r="H72" i="27" s="1"/>
  <c r="I72" i="27" s="1"/>
  <c r="E73" i="27" s="1"/>
  <c r="G73" i="27" s="1"/>
  <c r="H73" i="27" s="1"/>
  <c r="I73" i="27" s="1"/>
  <c r="E74" i="27" s="1"/>
  <c r="G74" i="27" s="1"/>
  <c r="H74" i="27" s="1"/>
  <c r="I74" i="27" s="1"/>
  <c r="E75" i="27" s="1"/>
  <c r="F44" i="28"/>
  <c r="I35" i="28"/>
  <c r="E36" i="28" s="1"/>
  <c r="G36" i="28" s="1"/>
  <c r="H36" i="28" s="1"/>
  <c r="AH20" i="24" s="1"/>
  <c r="AG23" i="24"/>
  <c r="AJ37" i="24"/>
  <c r="AJ52" i="24"/>
  <c r="AJ53" i="24" s="1"/>
  <c r="AK43" i="24"/>
  <c r="AK41" i="24"/>
  <c r="AK42" i="24"/>
  <c r="AH63" i="24"/>
  <c r="AL33" i="24"/>
  <c r="AL34" i="24"/>
  <c r="AL28" i="24"/>
  <c r="AL32" i="24"/>
  <c r="AL29" i="24"/>
  <c r="AL30" i="24"/>
  <c r="AL31" i="24"/>
  <c r="AL27" i="24"/>
  <c r="AL4" i="24"/>
  <c r="AL40" i="24"/>
  <c r="AL66" i="24"/>
  <c r="AL7" i="24"/>
  <c r="AL9" i="24"/>
  <c r="AM5" i="24"/>
  <c r="AL58" i="24"/>
  <c r="AL59" i="24" s="1"/>
  <c r="AL10" i="24"/>
  <c r="AL16" i="24"/>
  <c r="AL6" i="24"/>
  <c r="AL8" i="24"/>
  <c r="AK36" i="24"/>
  <c r="AK12" i="24"/>
  <c r="AK67" i="24"/>
  <c r="AK72" i="24" s="1"/>
  <c r="AK73" i="24" s="1"/>
  <c r="AK60" i="24"/>
  <c r="AI62" i="24"/>
  <c r="D64" i="30"/>
  <c r="C64" i="30"/>
  <c r="B64" i="30"/>
  <c r="A65" i="30"/>
  <c r="AL45" i="24" l="1"/>
  <c r="AL21" i="24"/>
  <c r="AL88" i="24" s="1"/>
  <c r="AL17" i="24"/>
  <c r="AL18" i="24" s="1"/>
  <c r="AL19" i="24" s="1"/>
  <c r="D48" i="28"/>
  <c r="C49" i="28"/>
  <c r="G75" i="27"/>
  <c r="H75" i="27" s="1"/>
  <c r="I75" i="27" s="1"/>
  <c r="E76" i="27" s="1"/>
  <c r="G76" i="27" s="1"/>
  <c r="H76" i="27" s="1"/>
  <c r="F45" i="28"/>
  <c r="I36" i="28"/>
  <c r="E37" i="28" s="1"/>
  <c r="G37" i="28" s="1"/>
  <c r="H37" i="28" s="1"/>
  <c r="AI20" i="24" s="1"/>
  <c r="AH23" i="24"/>
  <c r="AK52" i="24"/>
  <c r="AK53" i="24" s="1"/>
  <c r="AK37" i="24"/>
  <c r="AL43" i="24"/>
  <c r="AL41" i="24"/>
  <c r="AL42" i="24"/>
  <c r="AI63" i="24"/>
  <c r="AJ62" i="24"/>
  <c r="AL60" i="24"/>
  <c r="AL67" i="24"/>
  <c r="AL72" i="24" s="1"/>
  <c r="AL73" i="24" s="1"/>
  <c r="AL36" i="24"/>
  <c r="AM33" i="24"/>
  <c r="AM28" i="24"/>
  <c r="AM34" i="24"/>
  <c r="AM32" i="24"/>
  <c r="AM29" i="24"/>
  <c r="AM30" i="24"/>
  <c r="AM31" i="24"/>
  <c r="AM58" i="24"/>
  <c r="AM59" i="24" s="1"/>
  <c r="AM40" i="24"/>
  <c r="AM6" i="24"/>
  <c r="AM8" i="24"/>
  <c r="AM4" i="24"/>
  <c r="AN5" i="24"/>
  <c r="AM10" i="24"/>
  <c r="AM7" i="24"/>
  <c r="AM9" i="24"/>
  <c r="AM16" i="24"/>
  <c r="AM66" i="24"/>
  <c r="AM27" i="24"/>
  <c r="AL12" i="24"/>
  <c r="D65" i="30"/>
  <c r="B65" i="30"/>
  <c r="C65" i="30"/>
  <c r="A66" i="30"/>
  <c r="I76" i="27" l="1"/>
  <c r="J21" i="24"/>
  <c r="AM45" i="24"/>
  <c r="AM21" i="24"/>
  <c r="AM88" i="24" s="1"/>
  <c r="AM17" i="24"/>
  <c r="AM18" i="24" s="1"/>
  <c r="AM19" i="24" s="1"/>
  <c r="C50" i="28"/>
  <c r="D49" i="28"/>
  <c r="F46" i="28"/>
  <c r="AL52" i="24"/>
  <c r="AL53" i="24" s="1"/>
  <c r="I37" i="28"/>
  <c r="E38" i="28" s="1"/>
  <c r="G38" i="28" s="1"/>
  <c r="H38" i="28" s="1"/>
  <c r="AJ20" i="24" s="1"/>
  <c r="AI23" i="24"/>
  <c r="AL37" i="24"/>
  <c r="AM43" i="24"/>
  <c r="AM41" i="24"/>
  <c r="AM42" i="24"/>
  <c r="AM36" i="24"/>
  <c r="AJ63" i="24"/>
  <c r="AK62" i="24"/>
  <c r="AM12" i="24"/>
  <c r="AM60" i="24"/>
  <c r="AM67" i="24"/>
  <c r="AM72" i="24" s="1"/>
  <c r="AM73" i="24" s="1"/>
  <c r="AN33" i="24"/>
  <c r="AN34" i="24"/>
  <c r="AN32" i="24"/>
  <c r="AN28" i="24"/>
  <c r="AN29" i="24"/>
  <c r="AN30" i="24"/>
  <c r="AN31" i="24"/>
  <c r="AN66" i="24"/>
  <c r="AN4" i="24"/>
  <c r="AN6" i="24"/>
  <c r="AN7" i="24"/>
  <c r="AN40" i="24"/>
  <c r="AN16" i="24"/>
  <c r="AN27" i="24"/>
  <c r="AN9" i="24"/>
  <c r="AO5" i="24"/>
  <c r="AN8" i="24"/>
  <c r="AN10" i="24"/>
  <c r="AN58" i="24"/>
  <c r="AN59" i="24" s="1"/>
  <c r="D66" i="30"/>
  <c r="B66" i="30"/>
  <c r="C66" i="30"/>
  <c r="A67" i="30"/>
  <c r="F24" i="30" l="1"/>
  <c r="D21" i="24"/>
  <c r="U21" i="24" s="1"/>
  <c r="AN45" i="24"/>
  <c r="AN21" i="24"/>
  <c r="AN88" i="24" s="1"/>
  <c r="AN17" i="24"/>
  <c r="AN18" i="24" s="1"/>
  <c r="AN19" i="24" s="1"/>
  <c r="D50" i="28"/>
  <c r="C51" i="28"/>
  <c r="F47" i="28"/>
  <c r="AM52" i="24"/>
  <c r="AM53" i="24" s="1"/>
  <c r="I38" i="28"/>
  <c r="E39" i="28" s="1"/>
  <c r="G39" i="28" s="1"/>
  <c r="H39" i="28" s="1"/>
  <c r="AK20" i="24" s="1"/>
  <c r="AJ23" i="24"/>
  <c r="AM37" i="24"/>
  <c r="AN43" i="24"/>
  <c r="AN41" i="24"/>
  <c r="AN42" i="24"/>
  <c r="AK63" i="24"/>
  <c r="AN60" i="24"/>
  <c r="AN67" i="24"/>
  <c r="AN72" i="24" s="1"/>
  <c r="AN73" i="24" s="1"/>
  <c r="AL62" i="24"/>
  <c r="AN12" i="24"/>
  <c r="AO33" i="24"/>
  <c r="AO34" i="24"/>
  <c r="AO32" i="24"/>
  <c r="AO28" i="24"/>
  <c r="AO29" i="24"/>
  <c r="AO30" i="24"/>
  <c r="AO31" i="24"/>
  <c r="AO9" i="24"/>
  <c r="AO66" i="24"/>
  <c r="AO10" i="24"/>
  <c r="AP5" i="24"/>
  <c r="AO8" i="24"/>
  <c r="AO16" i="24"/>
  <c r="AO27" i="24"/>
  <c r="AO4" i="24"/>
  <c r="AO40" i="24"/>
  <c r="AO58" i="24"/>
  <c r="AO59" i="24" s="1"/>
  <c r="AO6" i="24"/>
  <c r="AO7" i="24"/>
  <c r="AN36" i="24"/>
  <c r="D67" i="30"/>
  <c r="B67" i="30"/>
  <c r="A68" i="30"/>
  <c r="C67" i="30"/>
  <c r="AO45" i="24" l="1"/>
  <c r="AO21" i="24"/>
  <c r="AO88" i="24" s="1"/>
  <c r="AO17" i="24"/>
  <c r="AO18" i="24" s="1"/>
  <c r="AO19" i="24" s="1"/>
  <c r="D51" i="28"/>
  <c r="C52" i="28"/>
  <c r="D52" i="28" s="1"/>
  <c r="O15" i="9" s="1"/>
  <c r="F48" i="28"/>
  <c r="AN52" i="24"/>
  <c r="AN53" i="24" s="1"/>
  <c r="I39" i="28"/>
  <c r="E40" i="28" s="1"/>
  <c r="G40" i="28" s="1"/>
  <c r="H40" i="28" s="1"/>
  <c r="AL20" i="24" s="1"/>
  <c r="AK23" i="24"/>
  <c r="AN37" i="24"/>
  <c r="AO43" i="24"/>
  <c r="AO41" i="24"/>
  <c r="AO42" i="24"/>
  <c r="AL63" i="24"/>
  <c r="AM62" i="24"/>
  <c r="AO12" i="24"/>
  <c r="AO60" i="24"/>
  <c r="AO67" i="24"/>
  <c r="AO72" i="24" s="1"/>
  <c r="AO73" i="24" s="1"/>
  <c r="AO36" i="24"/>
  <c r="AP33" i="24"/>
  <c r="AP34" i="24"/>
  <c r="AP32" i="24"/>
  <c r="AP28" i="24"/>
  <c r="AP29" i="24"/>
  <c r="AP30" i="24"/>
  <c r="AP31" i="24"/>
  <c r="AP16" i="24"/>
  <c r="AP27" i="24"/>
  <c r="AP40" i="24"/>
  <c r="AP58" i="24"/>
  <c r="AP59" i="24" s="1"/>
  <c r="AP4" i="24"/>
  <c r="AP8" i="24"/>
  <c r="AP7" i="24"/>
  <c r="AP6" i="24"/>
  <c r="AP9" i="24"/>
  <c r="AQ5" i="24"/>
  <c r="AP66" i="24"/>
  <c r="AP10" i="24"/>
  <c r="D68" i="30"/>
  <c r="C68" i="30"/>
  <c r="B68" i="30"/>
  <c r="A69" i="30"/>
  <c r="N15" i="9" l="1"/>
  <c r="O19" i="9"/>
  <c r="AP45" i="24"/>
  <c r="AP21" i="24"/>
  <c r="AP88" i="24" s="1"/>
  <c r="AP17" i="24"/>
  <c r="AP18" i="24" s="1"/>
  <c r="AP19" i="24" s="1"/>
  <c r="F49" i="28"/>
  <c r="I40" i="28"/>
  <c r="E41" i="28" s="1"/>
  <c r="G41" i="28" s="1"/>
  <c r="H41" i="28" s="1"/>
  <c r="AM20" i="24" s="1"/>
  <c r="AL23" i="24"/>
  <c r="AO37" i="24"/>
  <c r="AP43" i="24"/>
  <c r="AP41" i="24"/>
  <c r="AP42" i="24"/>
  <c r="AM63" i="24"/>
  <c r="AP12" i="24"/>
  <c r="AO52" i="24"/>
  <c r="AO53" i="24" s="1"/>
  <c r="AP67" i="24"/>
  <c r="AP72" i="24" s="1"/>
  <c r="AP73" i="24" s="1"/>
  <c r="AP60" i="24"/>
  <c r="AN62" i="24"/>
  <c r="AQ33" i="24"/>
  <c r="AQ34" i="24"/>
  <c r="AQ32" i="24"/>
  <c r="AQ28" i="24"/>
  <c r="AQ29" i="24"/>
  <c r="AQ30" i="24"/>
  <c r="AQ31" i="24"/>
  <c r="AQ6" i="24"/>
  <c r="AQ58" i="24"/>
  <c r="AQ59" i="24" s="1"/>
  <c r="AQ9" i="24"/>
  <c r="AR5" i="24"/>
  <c r="AQ40" i="24"/>
  <c r="AQ27" i="24"/>
  <c r="AQ10" i="24"/>
  <c r="AQ8" i="24"/>
  <c r="AQ16" i="24"/>
  <c r="AQ4" i="24"/>
  <c r="AQ7" i="24"/>
  <c r="AQ66" i="24"/>
  <c r="AP36" i="24"/>
  <c r="D69" i="30"/>
  <c r="C69" i="30"/>
  <c r="A70" i="30"/>
  <c r="B69" i="30"/>
  <c r="R15" i="9" l="1"/>
  <c r="R19" i="9" s="1"/>
  <c r="N19" i="9"/>
  <c r="AQ45" i="24"/>
  <c r="AQ21" i="24"/>
  <c r="AQ88" i="24" s="1"/>
  <c r="AQ17" i="24"/>
  <c r="AQ18" i="24" s="1"/>
  <c r="AQ19" i="24" s="1"/>
  <c r="F50" i="28"/>
  <c r="I41" i="28"/>
  <c r="E42" i="28" s="1"/>
  <c r="G42" i="28" s="1"/>
  <c r="H42" i="28" s="1"/>
  <c r="AN20" i="24" s="1"/>
  <c r="AM23" i="24"/>
  <c r="AP37" i="24"/>
  <c r="AQ43" i="24"/>
  <c r="AQ41" i="24"/>
  <c r="AQ42" i="24"/>
  <c r="AN63" i="24"/>
  <c r="AR33" i="24"/>
  <c r="AR34" i="24"/>
  <c r="AR32" i="24"/>
  <c r="AR28" i="24"/>
  <c r="AR29" i="24"/>
  <c r="AR30" i="24"/>
  <c r="AR31" i="24"/>
  <c r="AR27" i="24"/>
  <c r="AR4" i="24"/>
  <c r="AR10" i="24"/>
  <c r="AR8" i="24"/>
  <c r="AR16" i="24"/>
  <c r="AR7" i="24"/>
  <c r="AR40" i="24"/>
  <c r="AR6" i="24"/>
  <c r="AR58" i="24"/>
  <c r="AR59" i="24" s="1"/>
  <c r="AR66" i="24"/>
  <c r="AR9" i="24"/>
  <c r="AS5" i="24"/>
  <c r="AP52" i="24"/>
  <c r="AP53" i="24" s="1"/>
  <c r="AQ36" i="24"/>
  <c r="AO62" i="24"/>
  <c r="AQ60" i="24"/>
  <c r="AQ67" i="24"/>
  <c r="AQ72" i="24" s="1"/>
  <c r="AQ73" i="24" s="1"/>
  <c r="AQ12" i="24"/>
  <c r="D70" i="30"/>
  <c r="A71" i="30"/>
  <c r="B70" i="30"/>
  <c r="C70" i="30"/>
  <c r="AR45" i="24" l="1"/>
  <c r="AR21" i="24"/>
  <c r="AR88" i="24" s="1"/>
  <c r="AR17" i="24"/>
  <c r="AR18" i="24" s="1"/>
  <c r="AR19" i="24" s="1"/>
  <c r="F35" i="30"/>
  <c r="F67" i="30"/>
  <c r="F37" i="30"/>
  <c r="F53" i="30"/>
  <c r="F30" i="30"/>
  <c r="F63" i="30"/>
  <c r="F16" i="30"/>
  <c r="F40" i="30"/>
  <c r="F64" i="30"/>
  <c r="F45" i="30"/>
  <c r="F69" i="30"/>
  <c r="F32" i="30"/>
  <c r="F56" i="30"/>
  <c r="F43" i="30"/>
  <c r="F52" i="30"/>
  <c r="F57" i="30"/>
  <c r="F34" i="30"/>
  <c r="F15" i="30"/>
  <c r="F31" i="30"/>
  <c r="F70" i="30"/>
  <c r="F66" i="30"/>
  <c r="F65" i="30"/>
  <c r="F33" i="30"/>
  <c r="F44" i="30"/>
  <c r="F36" i="30"/>
  <c r="F60" i="30"/>
  <c r="F58" i="30"/>
  <c r="F41" i="30"/>
  <c r="F62" i="30"/>
  <c r="F50" i="30"/>
  <c r="F46" i="30"/>
  <c r="F13" i="30"/>
  <c r="F55" i="30"/>
  <c r="F59" i="30"/>
  <c r="F54" i="30"/>
  <c r="F48" i="30"/>
  <c r="F42" i="30"/>
  <c r="F38" i="30"/>
  <c r="F68" i="30"/>
  <c r="F49" i="30"/>
  <c r="F39" i="30"/>
  <c r="F61" i="30"/>
  <c r="F51" i="30"/>
  <c r="F14" i="30"/>
  <c r="F17" i="30"/>
  <c r="F47" i="30"/>
  <c r="F71" i="30"/>
  <c r="E54" i="30"/>
  <c r="E38" i="30"/>
  <c r="E59" i="30"/>
  <c r="E60" i="30"/>
  <c r="E50" i="30"/>
  <c r="E66" i="30"/>
  <c r="E46" i="30"/>
  <c r="E65" i="30"/>
  <c r="E62" i="30"/>
  <c r="E69" i="30"/>
  <c r="E34" i="30"/>
  <c r="E42" i="30"/>
  <c r="E45" i="30"/>
  <c r="E41" i="30"/>
  <c r="E37" i="30"/>
  <c r="E71" i="30"/>
  <c r="E68" i="30"/>
  <c r="E57" i="30"/>
  <c r="E30" i="30"/>
  <c r="E58" i="30"/>
  <c r="E70" i="30"/>
  <c r="E43" i="30"/>
  <c r="E48" i="30"/>
  <c r="E35" i="30"/>
  <c r="E55" i="30"/>
  <c r="E40" i="30"/>
  <c r="E44" i="30"/>
  <c r="E36" i="30"/>
  <c r="E51" i="30"/>
  <c r="E49" i="30"/>
  <c r="E63" i="30"/>
  <c r="E39" i="30"/>
  <c r="E56" i="30"/>
  <c r="E61" i="30"/>
  <c r="E47" i="30"/>
  <c r="E67" i="30"/>
  <c r="E64" i="30"/>
  <c r="E32" i="30"/>
  <c r="E33" i="30"/>
  <c r="O85" i="24"/>
  <c r="P85" i="24"/>
  <c r="P88" i="24"/>
  <c r="F51" i="28"/>
  <c r="E52" i="30" s="1"/>
  <c r="I42" i="28"/>
  <c r="E43" i="28" s="1"/>
  <c r="G43" i="28" s="1"/>
  <c r="H43" i="28" s="1"/>
  <c r="AO20" i="24" s="1"/>
  <c r="AN23" i="24"/>
  <c r="AQ52" i="24"/>
  <c r="AQ53" i="24" s="1"/>
  <c r="AQ37" i="24"/>
  <c r="AR43" i="24"/>
  <c r="AR41" i="24"/>
  <c r="AR42" i="24"/>
  <c r="AJ85" i="24"/>
  <c r="AJ91" i="24" s="1"/>
  <c r="AK85" i="24"/>
  <c r="AK91" i="24" s="1"/>
  <c r="AC85" i="24"/>
  <c r="AC91" i="24" s="1"/>
  <c r="AN85" i="24"/>
  <c r="AN91" i="24" s="1"/>
  <c r="AG85" i="24"/>
  <c r="AG91" i="24" s="1"/>
  <c r="AF85" i="24"/>
  <c r="AF91" i="24" s="1"/>
  <c r="AL85" i="24"/>
  <c r="AL91" i="24" s="1"/>
  <c r="V85" i="24"/>
  <c r="V91" i="24" s="1"/>
  <c r="W85" i="24"/>
  <c r="W91" i="24" s="1"/>
  <c r="AM85" i="24"/>
  <c r="AM91" i="24" s="1"/>
  <c r="AE85" i="24"/>
  <c r="AE91" i="24" s="1"/>
  <c r="AQ85" i="24"/>
  <c r="AQ91" i="24" s="1"/>
  <c r="AI85" i="24"/>
  <c r="AI91" i="24" s="1"/>
  <c r="Z85" i="24"/>
  <c r="Z91" i="24" s="1"/>
  <c r="AR85" i="24"/>
  <c r="X85" i="24"/>
  <c r="X91" i="24" s="1"/>
  <c r="AD85" i="24"/>
  <c r="AD91" i="24" s="1"/>
  <c r="AB85" i="24"/>
  <c r="AB91" i="24" s="1"/>
  <c r="AP85" i="24"/>
  <c r="AP91" i="24" s="1"/>
  <c r="Y85" i="24"/>
  <c r="Y91" i="24" s="1"/>
  <c r="AO85" i="24"/>
  <c r="AO91" i="24" s="1"/>
  <c r="AA85" i="24"/>
  <c r="AA91" i="24" s="1"/>
  <c r="U85" i="24"/>
  <c r="AH85" i="24"/>
  <c r="AH91" i="24" s="1"/>
  <c r="AS85" i="24"/>
  <c r="AR12" i="24"/>
  <c r="AS33" i="24"/>
  <c r="AS34" i="24"/>
  <c r="AS28" i="24"/>
  <c r="AS32" i="24"/>
  <c r="AS29" i="24"/>
  <c r="AS30" i="24"/>
  <c r="AS31" i="24"/>
  <c r="AS4" i="24"/>
  <c r="AS16" i="24"/>
  <c r="AS6" i="24"/>
  <c r="AT5" i="24"/>
  <c r="AT85" i="24" s="1"/>
  <c r="AS40" i="24"/>
  <c r="AS7" i="24"/>
  <c r="AS27" i="24"/>
  <c r="AS8" i="24"/>
  <c r="AS58" i="24"/>
  <c r="AS59" i="24" s="1"/>
  <c r="AS9" i="24"/>
  <c r="AS10" i="24"/>
  <c r="AS66" i="24"/>
  <c r="AO63" i="24"/>
  <c r="AP62" i="24"/>
  <c r="AR60" i="24"/>
  <c r="AR67" i="24"/>
  <c r="AR72" i="24" s="1"/>
  <c r="AR73" i="24" s="1"/>
  <c r="AR36" i="24"/>
  <c r="D71" i="30"/>
  <c r="C71" i="30"/>
  <c r="B71" i="30"/>
  <c r="A72" i="30"/>
  <c r="E72" i="30" l="1"/>
  <c r="AS45" i="24"/>
  <c r="AS21" i="24"/>
  <c r="AS88" i="24" s="1"/>
  <c r="AS91" i="24" s="1"/>
  <c r="AS17" i="24"/>
  <c r="AS18" i="24" s="1"/>
  <c r="AS19" i="24" s="1"/>
  <c r="F72" i="30"/>
  <c r="F11" i="30"/>
  <c r="Q81" i="30" s="1"/>
  <c r="P91" i="24"/>
  <c r="D72" i="30"/>
  <c r="D11" i="30" s="1"/>
  <c r="O81" i="30" s="1"/>
  <c r="B72" i="30"/>
  <c r="F52" i="28"/>
  <c r="E53" i="30" s="1"/>
  <c r="E11" i="30" s="1"/>
  <c r="P81" i="30" s="1"/>
  <c r="AR91" i="24"/>
  <c r="I43" i="28"/>
  <c r="E44" i="28" s="1"/>
  <c r="G44" i="28" s="1"/>
  <c r="H44" i="28" s="1"/>
  <c r="AP20" i="24" s="1"/>
  <c r="AO23" i="24"/>
  <c r="AR52" i="24"/>
  <c r="AR53" i="24" s="1"/>
  <c r="AR37" i="24"/>
  <c r="AS43" i="24"/>
  <c r="AS41" i="24"/>
  <c r="AS42" i="24"/>
  <c r="E103" i="20"/>
  <c r="T45" i="24"/>
  <c r="T88" i="24" s="1"/>
  <c r="T91" i="24" s="1"/>
  <c r="U45" i="24"/>
  <c r="U88" i="24" s="1"/>
  <c r="U91" i="24" s="1"/>
  <c r="U92" i="24" s="1"/>
  <c r="N45" i="24"/>
  <c r="AS12" i="24"/>
  <c r="AT33" i="24"/>
  <c r="AT34" i="24"/>
  <c r="AT28" i="24"/>
  <c r="AT32" i="24"/>
  <c r="AT29" i="24"/>
  <c r="AT30" i="24"/>
  <c r="AT31" i="24"/>
  <c r="AT16" i="24"/>
  <c r="AT58" i="24"/>
  <c r="AT59" i="24" s="1"/>
  <c r="AT8" i="24"/>
  <c r="AT27" i="24"/>
  <c r="AT66" i="24"/>
  <c r="AT9" i="24"/>
  <c r="AT4" i="24"/>
  <c r="AT40" i="24"/>
  <c r="AT7" i="24"/>
  <c r="AT6" i="24"/>
  <c r="AU5" i="24"/>
  <c r="AU85" i="24" s="1"/>
  <c r="AT10" i="24"/>
  <c r="AS60" i="24"/>
  <c r="AS67" i="24"/>
  <c r="AS72" i="24" s="1"/>
  <c r="AS73" i="24" s="1"/>
  <c r="AQ62" i="24"/>
  <c r="AS36" i="24"/>
  <c r="AP63" i="24"/>
  <c r="C72" i="30"/>
  <c r="M85" i="24"/>
  <c r="D9" i="24" l="1"/>
  <c r="U9" i="24" s="1"/>
  <c r="U12" i="24" s="1"/>
  <c r="E107" i="20"/>
  <c r="AT45" i="24"/>
  <c r="AT21" i="24"/>
  <c r="AT17" i="24"/>
  <c r="AT18" i="24" s="1"/>
  <c r="AT19" i="24" s="1"/>
  <c r="D12" i="24"/>
  <c r="T9" i="24"/>
  <c r="T12" i="24" s="1"/>
  <c r="B11" i="30"/>
  <c r="I44" i="28"/>
  <c r="E45" i="28" s="1"/>
  <c r="G45" i="28" s="1"/>
  <c r="H45" i="28" s="1"/>
  <c r="AQ20" i="24" s="1"/>
  <c r="AP23" i="24"/>
  <c r="AS37" i="24"/>
  <c r="AS52" i="24"/>
  <c r="AS53" i="24" s="1"/>
  <c r="AT43" i="24"/>
  <c r="AT41" i="24"/>
  <c r="AT42" i="24"/>
  <c r="N85" i="24"/>
  <c r="J85" i="24"/>
  <c r="K85" i="24"/>
  <c r="L85" i="24"/>
  <c r="AQ63" i="24"/>
  <c r="AT67" i="24"/>
  <c r="AT72" i="24" s="1"/>
  <c r="AT73" i="24" s="1"/>
  <c r="AT60" i="24"/>
  <c r="AU33" i="24"/>
  <c r="AU34" i="24"/>
  <c r="AU32" i="24"/>
  <c r="AU28" i="24"/>
  <c r="AU29" i="24"/>
  <c r="AU30" i="24"/>
  <c r="AU31" i="24"/>
  <c r="AU27" i="24"/>
  <c r="AU58" i="24"/>
  <c r="AU59" i="24" s="1"/>
  <c r="AV5" i="24"/>
  <c r="AV85" i="24" s="1"/>
  <c r="AU16" i="24"/>
  <c r="AU4" i="24"/>
  <c r="AU40" i="24"/>
  <c r="AU66" i="24"/>
  <c r="AU8" i="24"/>
  <c r="AU6" i="24"/>
  <c r="AU7" i="24"/>
  <c r="AU9" i="24"/>
  <c r="AU10" i="24"/>
  <c r="AT36" i="24"/>
  <c r="AR62" i="24"/>
  <c r="AT12" i="24"/>
  <c r="AT88" i="24" l="1"/>
  <c r="AT91" i="24" s="1"/>
  <c r="D43" i="20"/>
  <c r="M81" i="30"/>
  <c r="U14" i="24"/>
  <c r="AU45" i="24"/>
  <c r="AU21" i="24"/>
  <c r="AU88" i="24" s="1"/>
  <c r="AU91" i="24" s="1"/>
  <c r="AU17" i="24"/>
  <c r="AU18" i="24"/>
  <c r="AU19" i="24" s="1"/>
  <c r="T13" i="24"/>
  <c r="U13" i="24" s="1"/>
  <c r="V13" i="24" s="1"/>
  <c r="W13" i="24" s="1"/>
  <c r="X13" i="24" s="1"/>
  <c r="Y13" i="24" s="1"/>
  <c r="Z13" i="24" s="1"/>
  <c r="AA13" i="24" s="1"/>
  <c r="AB13" i="24" s="1"/>
  <c r="AC13" i="24" s="1"/>
  <c r="AD13" i="24" s="1"/>
  <c r="AE13" i="24" s="1"/>
  <c r="AF13" i="24" s="1"/>
  <c r="AG13" i="24" s="1"/>
  <c r="AH13" i="24" s="1"/>
  <c r="AI13" i="24" s="1"/>
  <c r="AJ13" i="24" s="1"/>
  <c r="AK13" i="24" s="1"/>
  <c r="AL13" i="24" s="1"/>
  <c r="AM13" i="24" s="1"/>
  <c r="AN13" i="24" s="1"/>
  <c r="AO13" i="24" s="1"/>
  <c r="AP13" i="24" s="1"/>
  <c r="AQ13" i="24" s="1"/>
  <c r="AR13" i="24" s="1"/>
  <c r="AS13" i="24" s="1"/>
  <c r="AT13" i="24" s="1"/>
  <c r="I45" i="28"/>
  <c r="E46" i="28" s="1"/>
  <c r="G46" i="28" s="1"/>
  <c r="H46" i="28" s="1"/>
  <c r="AR20" i="24" s="1"/>
  <c r="AQ23" i="24"/>
  <c r="AT52" i="24"/>
  <c r="AT53" i="24" s="1"/>
  <c r="AT37" i="24"/>
  <c r="AU43" i="24"/>
  <c r="AU41" i="24"/>
  <c r="AU42" i="24"/>
  <c r="AR63" i="24"/>
  <c r="AS62" i="24"/>
  <c r="AV32" i="24"/>
  <c r="AV34" i="24"/>
  <c r="AV33" i="24"/>
  <c r="AV28" i="24"/>
  <c r="AV29" i="24"/>
  <c r="AV30" i="24"/>
  <c r="AV31" i="24"/>
  <c r="AV27" i="24"/>
  <c r="AV4" i="24"/>
  <c r="AV40" i="24"/>
  <c r="AV7" i="24"/>
  <c r="AV66" i="24"/>
  <c r="AV9" i="24"/>
  <c r="AV8" i="24"/>
  <c r="AV58" i="24"/>
  <c r="AV59" i="24" s="1"/>
  <c r="AV6" i="24"/>
  <c r="AV10" i="24"/>
  <c r="AW5" i="24"/>
  <c r="AW85" i="24" s="1"/>
  <c r="AV16" i="24"/>
  <c r="AU60" i="24"/>
  <c r="AU67" i="24"/>
  <c r="AU72" i="24" s="1"/>
  <c r="AU73" i="24" s="1"/>
  <c r="AU12" i="24"/>
  <c r="AU36" i="24"/>
  <c r="AV45" i="24" l="1"/>
  <c r="AV21" i="24"/>
  <c r="AV88" i="24" s="1"/>
  <c r="AV91" i="24" s="1"/>
  <c r="AV17" i="24"/>
  <c r="AV18" i="24" s="1"/>
  <c r="AV19" i="24" s="1"/>
  <c r="AU13" i="24"/>
  <c r="I46" i="28"/>
  <c r="E47" i="28" s="1"/>
  <c r="G47" i="28" s="1"/>
  <c r="H47" i="28" s="1"/>
  <c r="AS20" i="24" s="1"/>
  <c r="AR23" i="24"/>
  <c r="AU52" i="24"/>
  <c r="AU53" i="24" s="1"/>
  <c r="AU37" i="24"/>
  <c r="AV43" i="24"/>
  <c r="AV41" i="24"/>
  <c r="AV42" i="24"/>
  <c r="AV12" i="24"/>
  <c r="AT62" i="24"/>
  <c r="AS63" i="24"/>
  <c r="AV36" i="24"/>
  <c r="AV60" i="24"/>
  <c r="AV67" i="24"/>
  <c r="AV72" i="24" s="1"/>
  <c r="AV73" i="24" s="1"/>
  <c r="AW33" i="24"/>
  <c r="AW34" i="24"/>
  <c r="AW28" i="24"/>
  <c r="AW32" i="24"/>
  <c r="AW29" i="24"/>
  <c r="AW30" i="24"/>
  <c r="AW31" i="24"/>
  <c r="AW16" i="24"/>
  <c r="AW40" i="24"/>
  <c r="AW4" i="24"/>
  <c r="AW66" i="24"/>
  <c r="AW6" i="24"/>
  <c r="AW7" i="24"/>
  <c r="AW9" i="24"/>
  <c r="AW27" i="24"/>
  <c r="AX5" i="24"/>
  <c r="AX85" i="24" s="1"/>
  <c r="AW58" i="24"/>
  <c r="AW59" i="24" s="1"/>
  <c r="AW10" i="24"/>
  <c r="AW8" i="24"/>
  <c r="AW45" i="24" l="1"/>
  <c r="AW21" i="24"/>
  <c r="AW88" i="24" s="1"/>
  <c r="AW91" i="24" s="1"/>
  <c r="AW17" i="24"/>
  <c r="AW18" i="24" s="1"/>
  <c r="AW19" i="24" s="1"/>
  <c r="AV13" i="24"/>
  <c r="I47" i="28"/>
  <c r="E48" i="28" s="1"/>
  <c r="G48" i="28" s="1"/>
  <c r="H48" i="28" s="1"/>
  <c r="AT20" i="24" s="1"/>
  <c r="AS23" i="24"/>
  <c r="AV52" i="24"/>
  <c r="AV53" i="24" s="1"/>
  <c r="AV37" i="24"/>
  <c r="AW43" i="24"/>
  <c r="AW41" i="24"/>
  <c r="AW42" i="24"/>
  <c r="AW36" i="24"/>
  <c r="AW12" i="24"/>
  <c r="AU62" i="24"/>
  <c r="AT63" i="24"/>
  <c r="AW60" i="24"/>
  <c r="AW67" i="24"/>
  <c r="AW72" i="24" s="1"/>
  <c r="AW73" i="24" s="1"/>
  <c r="AX34" i="24"/>
  <c r="AX32" i="24"/>
  <c r="AX33" i="24"/>
  <c r="AX28" i="24"/>
  <c r="AX29" i="24"/>
  <c r="AX30" i="24"/>
  <c r="AX31" i="24"/>
  <c r="AX7" i="24"/>
  <c r="AX66" i="24"/>
  <c r="AX6" i="24"/>
  <c r="AX9" i="24"/>
  <c r="AX40" i="24"/>
  <c r="AX4" i="24"/>
  <c r="AX27" i="24"/>
  <c r="AX10" i="24"/>
  <c r="AY5" i="24"/>
  <c r="AY85" i="24" s="1"/>
  <c r="AX8" i="24"/>
  <c r="AX58" i="24"/>
  <c r="AX59" i="24" s="1"/>
  <c r="AX16" i="24"/>
  <c r="D33" i="4"/>
  <c r="D34" i="4"/>
  <c r="D21" i="4"/>
  <c r="D20" i="4"/>
  <c r="D19" i="4"/>
  <c r="D16" i="4"/>
  <c r="D11" i="4"/>
  <c r="D8" i="4"/>
  <c r="D7" i="4"/>
  <c r="D6" i="4"/>
  <c r="D4" i="4"/>
  <c r="AX45" i="24" l="1"/>
  <c r="AX21" i="24"/>
  <c r="AX88" i="24" s="1"/>
  <c r="AX91" i="24" s="1"/>
  <c r="AX17" i="24"/>
  <c r="AX18" i="24" s="1"/>
  <c r="AX19" i="24" s="1"/>
  <c r="AW13" i="24"/>
  <c r="I48" i="28"/>
  <c r="E49" i="28" s="1"/>
  <c r="G49" i="28" s="1"/>
  <c r="H49" i="28" s="1"/>
  <c r="AU20" i="24" s="1"/>
  <c r="AT23" i="24"/>
  <c r="AW52" i="24"/>
  <c r="AW53" i="24" s="1"/>
  <c r="AW37" i="24"/>
  <c r="AX43" i="24"/>
  <c r="AX41" i="24"/>
  <c r="AX42" i="24"/>
  <c r="AX12" i="24"/>
  <c r="AX67" i="24"/>
  <c r="AX72" i="24" s="1"/>
  <c r="AX73" i="24" s="1"/>
  <c r="AX60" i="24"/>
  <c r="AU63" i="24"/>
  <c r="AY34" i="24"/>
  <c r="AY28" i="24"/>
  <c r="AY33" i="24"/>
  <c r="AY32" i="24"/>
  <c r="AY29" i="24"/>
  <c r="AY30" i="24"/>
  <c r="AY31" i="24"/>
  <c r="AY40" i="24"/>
  <c r="AY58" i="24"/>
  <c r="AY59" i="24" s="1"/>
  <c r="AY6" i="24"/>
  <c r="AY4" i="24"/>
  <c r="AY16" i="24"/>
  <c r="AY27" i="24"/>
  <c r="AY10" i="24"/>
  <c r="AY8" i="24"/>
  <c r="AZ5" i="24"/>
  <c r="AZ85" i="24" s="1"/>
  <c r="AY9" i="24"/>
  <c r="AY66" i="24"/>
  <c r="AY7" i="24"/>
  <c r="AX36" i="24"/>
  <c r="AV62" i="24"/>
  <c r="E7" i="7"/>
  <c r="E8" i="6"/>
  <c r="E38" i="4"/>
  <c r="E39" i="4" s="1"/>
  <c r="E40" i="4" s="1"/>
  <c r="E8" i="2"/>
  <c r="E7" i="15" l="1"/>
  <c r="L7" i="15" s="1"/>
  <c r="AY45" i="24"/>
  <c r="AY21" i="24"/>
  <c r="AY88" i="24" s="1"/>
  <c r="AY91" i="24" s="1"/>
  <c r="AY20" i="24"/>
  <c r="AY17" i="24"/>
  <c r="AY18" i="24"/>
  <c r="AY19" i="24" s="1"/>
  <c r="AX13" i="24"/>
  <c r="AX52" i="24"/>
  <c r="AX53" i="24" s="1"/>
  <c r="I49" i="28"/>
  <c r="E50" i="28" s="1"/>
  <c r="G50" i="28" s="1"/>
  <c r="H50" i="28" s="1"/>
  <c r="AV20" i="24" s="1"/>
  <c r="AU23" i="24"/>
  <c r="AX37" i="24"/>
  <c r="AY43" i="24"/>
  <c r="AY41" i="24"/>
  <c r="AY42" i="24"/>
  <c r="AV63" i="24"/>
  <c r="AZ33" i="24"/>
  <c r="AZ34" i="24"/>
  <c r="AZ28" i="24"/>
  <c r="AZ32" i="24"/>
  <c r="AZ29" i="24"/>
  <c r="AZ30" i="24"/>
  <c r="AZ31" i="24"/>
  <c r="AZ66" i="24"/>
  <c r="AZ10" i="24"/>
  <c r="AZ8" i="24"/>
  <c r="AZ6" i="24"/>
  <c r="AZ7" i="24"/>
  <c r="BA5" i="24"/>
  <c r="BA85" i="24" s="1"/>
  <c r="AZ58" i="24"/>
  <c r="AZ59" i="24" s="1"/>
  <c r="AZ9" i="24"/>
  <c r="AZ4" i="24"/>
  <c r="AZ16" i="24"/>
  <c r="AZ27" i="24"/>
  <c r="AZ40" i="24"/>
  <c r="AY36" i="24"/>
  <c r="AW62" i="24"/>
  <c r="AY60" i="24"/>
  <c r="AY67" i="24"/>
  <c r="AY72" i="24" s="1"/>
  <c r="AY73" i="24" s="1"/>
  <c r="AY12" i="24"/>
  <c r="E7" i="8"/>
  <c r="F7" i="7"/>
  <c r="F7" i="15" s="1"/>
  <c r="M7" i="15" s="1"/>
  <c r="F8" i="6"/>
  <c r="C10" i="6"/>
  <c r="J7" i="8"/>
  <c r="J7" i="7" s="1"/>
  <c r="Q19" i="9"/>
  <c r="E9" i="6"/>
  <c r="AZ45" i="24" l="1"/>
  <c r="AZ20" i="24"/>
  <c r="AZ21" i="24"/>
  <c r="AZ17" i="24"/>
  <c r="AZ18" i="24" s="1"/>
  <c r="AZ19" i="24" s="1"/>
  <c r="AY13" i="24"/>
  <c r="I50" i="28"/>
  <c r="E51" i="28" s="1"/>
  <c r="G51" i="28" s="1"/>
  <c r="H51" i="28" s="1"/>
  <c r="AW20" i="24" s="1"/>
  <c r="AV23" i="24"/>
  <c r="AY37" i="24"/>
  <c r="G7" i="7"/>
  <c r="G7" i="15" s="1"/>
  <c r="N7" i="15" s="1"/>
  <c r="AZ43" i="24"/>
  <c r="AZ41" i="24"/>
  <c r="AZ42" i="24"/>
  <c r="AW63" i="24"/>
  <c r="AZ12" i="24"/>
  <c r="AX62" i="24"/>
  <c r="AY52" i="24"/>
  <c r="AY53" i="24" s="1"/>
  <c r="AZ67" i="24"/>
  <c r="AZ72" i="24" s="1"/>
  <c r="AZ73" i="24" s="1"/>
  <c r="AZ60" i="24"/>
  <c r="BA33" i="24"/>
  <c r="BA34" i="24"/>
  <c r="BA32" i="24"/>
  <c r="BA28" i="24"/>
  <c r="BA29" i="24"/>
  <c r="BA30" i="24"/>
  <c r="BA31" i="24"/>
  <c r="BA16" i="24"/>
  <c r="BA4" i="24"/>
  <c r="BA27" i="24"/>
  <c r="BA6" i="24"/>
  <c r="BA58" i="24"/>
  <c r="BA59" i="24" s="1"/>
  <c r="BA8" i="24"/>
  <c r="BA10" i="24"/>
  <c r="BA9" i="24"/>
  <c r="BB5" i="24"/>
  <c r="BB85" i="24" s="1"/>
  <c r="BA7" i="24"/>
  <c r="BA40" i="24"/>
  <c r="BA66" i="24"/>
  <c r="AZ36" i="24"/>
  <c r="G8" i="6"/>
  <c r="F7" i="8"/>
  <c r="K7" i="8"/>
  <c r="F9" i="6"/>
  <c r="AZ88" i="24" l="1"/>
  <c r="AZ91" i="24" s="1"/>
  <c r="BA45" i="24"/>
  <c r="BA20" i="24"/>
  <c r="BA21" i="24"/>
  <c r="BA17" i="24"/>
  <c r="BA18" i="24"/>
  <c r="BA19" i="24" s="1"/>
  <c r="AZ13" i="24"/>
  <c r="I51" i="28"/>
  <c r="E52" i="28" s="1"/>
  <c r="G52" i="28" s="1"/>
  <c r="H52" i="28" s="1"/>
  <c r="AW23" i="24"/>
  <c r="AZ52" i="24"/>
  <c r="AZ53" i="24" s="1"/>
  <c r="AZ37" i="24"/>
  <c r="H7" i="7"/>
  <c r="H7" i="15" s="1"/>
  <c r="BA43" i="24"/>
  <c r="BA41" i="24"/>
  <c r="BA42" i="24"/>
  <c r="BB33" i="24"/>
  <c r="BB34" i="24"/>
  <c r="BB28" i="24"/>
  <c r="BB32" i="24"/>
  <c r="BB29" i="24"/>
  <c r="BB30" i="24"/>
  <c r="BB31" i="24"/>
  <c r="BB27" i="24"/>
  <c r="BB66" i="24"/>
  <c r="BB40" i="24"/>
  <c r="BB6" i="24"/>
  <c r="BC5" i="24"/>
  <c r="BC85" i="24" s="1"/>
  <c r="BB10" i="24"/>
  <c r="BB16" i="24"/>
  <c r="BB58" i="24"/>
  <c r="BB59" i="24" s="1"/>
  <c r="BB9" i="24"/>
  <c r="BB4" i="24"/>
  <c r="BB7" i="24"/>
  <c r="BB8" i="24"/>
  <c r="BA36" i="24"/>
  <c r="BA60" i="24"/>
  <c r="BA67" i="24"/>
  <c r="BA72" i="24" s="1"/>
  <c r="BA73" i="24" s="1"/>
  <c r="AY62" i="24"/>
  <c r="BA12" i="24"/>
  <c r="AX63" i="24"/>
  <c r="G9" i="6"/>
  <c r="H8" i="6"/>
  <c r="H9" i="6" s="1"/>
  <c r="G7" i="8"/>
  <c r="K7" i="7"/>
  <c r="L7" i="8"/>
  <c r="L7" i="7" s="1"/>
  <c r="BA88" i="24" l="1"/>
  <c r="BA91" i="24" s="1"/>
  <c r="J20" i="24"/>
  <c r="K20" i="24"/>
  <c r="M20" i="24"/>
  <c r="L20" i="24"/>
  <c r="N20" i="24"/>
  <c r="AX20" i="24"/>
  <c r="AX23" i="24" s="1"/>
  <c r="L13" i="30" a="1"/>
  <c r="BB45" i="24"/>
  <c r="BB20" i="24"/>
  <c r="BB21" i="24"/>
  <c r="BB17" i="24"/>
  <c r="BB18" i="24" s="1"/>
  <c r="BB19" i="24" s="1"/>
  <c r="BA13" i="24"/>
  <c r="J7" i="15"/>
  <c r="O7" i="15"/>
  <c r="I52" i="28"/>
  <c r="BA52" i="24"/>
  <c r="BA53" i="24" s="1"/>
  <c r="BA37" i="24"/>
  <c r="BB43" i="24"/>
  <c r="BB41" i="24"/>
  <c r="BB42" i="24"/>
  <c r="AY63" i="24"/>
  <c r="BC33" i="24"/>
  <c r="BC34" i="24"/>
  <c r="BC32" i="24"/>
  <c r="BC28" i="24"/>
  <c r="BC29" i="24"/>
  <c r="BC30" i="24"/>
  <c r="BC31" i="24"/>
  <c r="BD5" i="24"/>
  <c r="BD85" i="24" s="1"/>
  <c r="BC16" i="24"/>
  <c r="BC40" i="24"/>
  <c r="BC4" i="24"/>
  <c r="BC10" i="24"/>
  <c r="BC58" i="24"/>
  <c r="BC59" i="24" s="1"/>
  <c r="BC66" i="24"/>
  <c r="BC8" i="24"/>
  <c r="BC6" i="24"/>
  <c r="BC9" i="24"/>
  <c r="BC27" i="24"/>
  <c r="BC7" i="24"/>
  <c r="BB12" i="24"/>
  <c r="BB67" i="24"/>
  <c r="BB72" i="24" s="1"/>
  <c r="BB73" i="24" s="1"/>
  <c r="BB60" i="24"/>
  <c r="BB36" i="24"/>
  <c r="AZ62" i="24"/>
  <c r="I8" i="6"/>
  <c r="I9" i="6" s="1"/>
  <c r="H7" i="8"/>
  <c r="M7" i="8"/>
  <c r="M7" i="7" s="1"/>
  <c r="BB88" i="24" l="1"/>
  <c r="BB91" i="24" s="1"/>
  <c r="L65" i="30"/>
  <c r="L66" i="30"/>
  <c r="L67" i="30"/>
  <c r="L76" i="30" s="1"/>
  <c r="L23" i="30"/>
  <c r="L24" i="30"/>
  <c r="L22" i="30"/>
  <c r="L13" i="30"/>
  <c r="BC45" i="24"/>
  <c r="BC20" i="24"/>
  <c r="BC21" i="24"/>
  <c r="BC17" i="24"/>
  <c r="BC18" i="24" s="1"/>
  <c r="BC19" i="24" s="1"/>
  <c r="BB13" i="24"/>
  <c r="AY23" i="24"/>
  <c r="BB37" i="24"/>
  <c r="BB52" i="24"/>
  <c r="BB53" i="24" s="1"/>
  <c r="BC43" i="24"/>
  <c r="BC41" i="24"/>
  <c r="BC42" i="24"/>
  <c r="BA62" i="24"/>
  <c r="BD33" i="24"/>
  <c r="BD34" i="24"/>
  <c r="BD32" i="24"/>
  <c r="BD28" i="24"/>
  <c r="BD29" i="24"/>
  <c r="BD30" i="24"/>
  <c r="BD31" i="24"/>
  <c r="BD10" i="24"/>
  <c r="BD40" i="24"/>
  <c r="BD27" i="24"/>
  <c r="BD58" i="24"/>
  <c r="BD59" i="24" s="1"/>
  <c r="BE5" i="24"/>
  <c r="BE85" i="24" s="1"/>
  <c r="BD6" i="24"/>
  <c r="BD7" i="24"/>
  <c r="BD9" i="24"/>
  <c r="BD4" i="24"/>
  <c r="BD16" i="24"/>
  <c r="BD66" i="24"/>
  <c r="BD8" i="24"/>
  <c r="AZ63" i="24"/>
  <c r="BC12" i="24"/>
  <c r="BC36" i="24"/>
  <c r="BC67" i="24"/>
  <c r="BC72" i="24" s="1"/>
  <c r="BC73" i="24" s="1"/>
  <c r="BC60" i="24"/>
  <c r="J8" i="6"/>
  <c r="N7" i="8"/>
  <c r="N7" i="7" s="1"/>
  <c r="BC13" i="24" l="1"/>
  <c r="L64" i="30"/>
  <c r="L21" i="30"/>
  <c r="L75" i="30"/>
  <c r="N66" i="30"/>
  <c r="N67" i="30" s="1"/>
  <c r="L74" i="30"/>
  <c r="N65" i="30"/>
  <c r="BC88" i="24"/>
  <c r="BC91" i="24" s="1"/>
  <c r="BD45" i="24"/>
  <c r="BD21" i="24"/>
  <c r="BD20" i="24"/>
  <c r="BD17" i="24"/>
  <c r="BD18" i="24" s="1"/>
  <c r="BD19" i="24" s="1"/>
  <c r="AZ23" i="24"/>
  <c r="BC52" i="24"/>
  <c r="BC53" i="24" s="1"/>
  <c r="BC37" i="24"/>
  <c r="BD43" i="24"/>
  <c r="BD41" i="24"/>
  <c r="BD42" i="24"/>
  <c r="BA63" i="24"/>
  <c r="BD36" i="24"/>
  <c r="BB62" i="24"/>
  <c r="BD60" i="24"/>
  <c r="BD67" i="24"/>
  <c r="BD72" i="24" s="1"/>
  <c r="BD73" i="24" s="1"/>
  <c r="BE34" i="24"/>
  <c r="BE33" i="24"/>
  <c r="BE32" i="24"/>
  <c r="BE28" i="24"/>
  <c r="BE29" i="24"/>
  <c r="BE30" i="24"/>
  <c r="BE31" i="24"/>
  <c r="BE16" i="24"/>
  <c r="BE8" i="24"/>
  <c r="BE10" i="24"/>
  <c r="BE40" i="24"/>
  <c r="BE66" i="24"/>
  <c r="BE6" i="24"/>
  <c r="BE58" i="24"/>
  <c r="BE59" i="24" s="1"/>
  <c r="BF5" i="24"/>
  <c r="BF85" i="24" s="1"/>
  <c r="BE7" i="24"/>
  <c r="BE9" i="24"/>
  <c r="BE4" i="24"/>
  <c r="BE27" i="24"/>
  <c r="BD12" i="24"/>
  <c r="BD13" i="24" s="1"/>
  <c r="J9" i="6"/>
  <c r="K8" i="6"/>
  <c r="BD88" i="24" l="1"/>
  <c r="BD91" i="24" s="1"/>
  <c r="L73" i="30"/>
  <c r="N64" i="30"/>
  <c r="BE45" i="24"/>
  <c r="BE21" i="24"/>
  <c r="BE20" i="24"/>
  <c r="BE17" i="24"/>
  <c r="BE18" i="24" s="1"/>
  <c r="BE19" i="24" s="1"/>
  <c r="BD52" i="24"/>
  <c r="BD53" i="24" s="1"/>
  <c r="BA23" i="24"/>
  <c r="BD37" i="24"/>
  <c r="BE43" i="24"/>
  <c r="BE41" i="24"/>
  <c r="BE42" i="24"/>
  <c r="BB63" i="24"/>
  <c r="BC62" i="24"/>
  <c r="BE36" i="24"/>
  <c r="BF34" i="24"/>
  <c r="BF28" i="24"/>
  <c r="BF33" i="24"/>
  <c r="BF32" i="24"/>
  <c r="BF29" i="24"/>
  <c r="BF30" i="24"/>
  <c r="BF31" i="24"/>
  <c r="BF4" i="24"/>
  <c r="BF40" i="24"/>
  <c r="BF27" i="24"/>
  <c r="BF8" i="24"/>
  <c r="BF66" i="24"/>
  <c r="BF7" i="24"/>
  <c r="BF9" i="24"/>
  <c r="BG5" i="24"/>
  <c r="BG85" i="24" s="1"/>
  <c r="BF6" i="24"/>
  <c r="BF10" i="24"/>
  <c r="BF58" i="24"/>
  <c r="BF59" i="24" s="1"/>
  <c r="BF16" i="24"/>
  <c r="BE60" i="24"/>
  <c r="BE67" i="24"/>
  <c r="BE72" i="24" s="1"/>
  <c r="BE73" i="24" s="1"/>
  <c r="BE12" i="24"/>
  <c r="BE13" i="24" s="1"/>
  <c r="K9" i="6"/>
  <c r="L8" i="6"/>
  <c r="BE88" i="24" l="1"/>
  <c r="BE91" i="24" s="1"/>
  <c r="BF45" i="24"/>
  <c r="BF21" i="24"/>
  <c r="BF88" i="24" s="1"/>
  <c r="BF91" i="24" s="1"/>
  <c r="BF20" i="24"/>
  <c r="BF17" i="24"/>
  <c r="BF18" i="24" s="1"/>
  <c r="BF19" i="24" s="1"/>
  <c r="BE52" i="24"/>
  <c r="BE53" i="24" s="1"/>
  <c r="BB23" i="24"/>
  <c r="BE37" i="24"/>
  <c r="BF43" i="24"/>
  <c r="BF41" i="24"/>
  <c r="BF42" i="24"/>
  <c r="BC63" i="24"/>
  <c r="BD62" i="24"/>
  <c r="BG34" i="24"/>
  <c r="BG28" i="24"/>
  <c r="BG33" i="24"/>
  <c r="BG32" i="24"/>
  <c r="BG29" i="24"/>
  <c r="BG30" i="24"/>
  <c r="BG31" i="24"/>
  <c r="BG40" i="24"/>
  <c r="BG27" i="24"/>
  <c r="BG4" i="24"/>
  <c r="BG6" i="24"/>
  <c r="BG58" i="24"/>
  <c r="BG59" i="24" s="1"/>
  <c r="BG9" i="24"/>
  <c r="BG16" i="24"/>
  <c r="BG66" i="24"/>
  <c r="BG7" i="24"/>
  <c r="BG8" i="24"/>
  <c r="BH5" i="24"/>
  <c r="BH85" i="24" s="1"/>
  <c r="BG10" i="24"/>
  <c r="BF36" i="24"/>
  <c r="BF60" i="24"/>
  <c r="BF67" i="24"/>
  <c r="BF72" i="24" s="1"/>
  <c r="BF73" i="24" s="1"/>
  <c r="BF12" i="24"/>
  <c r="BF13" i="24" s="1"/>
  <c r="M8" i="6"/>
  <c r="L9" i="6"/>
  <c r="BG45" i="24" l="1"/>
  <c r="BG20" i="24"/>
  <c r="BG21" i="24"/>
  <c r="BG88" i="24" s="1"/>
  <c r="BG91" i="24" s="1"/>
  <c r="BG17" i="24"/>
  <c r="BG18" i="24" s="1"/>
  <c r="BG19" i="24" s="1"/>
  <c r="BF52" i="24"/>
  <c r="BF53" i="24" s="1"/>
  <c r="BC23" i="24"/>
  <c r="BF37" i="24"/>
  <c r="BG43" i="24"/>
  <c r="BG41" i="24"/>
  <c r="BG42" i="24"/>
  <c r="BG60" i="24"/>
  <c r="BG67" i="24"/>
  <c r="BG72" i="24" s="1"/>
  <c r="BG73" i="24" s="1"/>
  <c r="BG12" i="24"/>
  <c r="BG13" i="24" s="1"/>
  <c r="BH34" i="24"/>
  <c r="BH28" i="24"/>
  <c r="BH33" i="24"/>
  <c r="BH32" i="24"/>
  <c r="BH29" i="24"/>
  <c r="BH30" i="24"/>
  <c r="BH31" i="24"/>
  <c r="BH8" i="24"/>
  <c r="BH9" i="24"/>
  <c r="BH4" i="24"/>
  <c r="BI5" i="24"/>
  <c r="BI85" i="24" s="1"/>
  <c r="BH10" i="24"/>
  <c r="BH16" i="24"/>
  <c r="BH40" i="24"/>
  <c r="BH6" i="24"/>
  <c r="BH66" i="24"/>
  <c r="BH58" i="24"/>
  <c r="BH59" i="24" s="1"/>
  <c r="BH27" i="24"/>
  <c r="BH7" i="24"/>
  <c r="BG36" i="24"/>
  <c r="BE62" i="24"/>
  <c r="BD63" i="24"/>
  <c r="N8" i="6"/>
  <c r="M9" i="6"/>
  <c r="BH45" i="24" l="1"/>
  <c r="BH21" i="24"/>
  <c r="BH88" i="24" s="1"/>
  <c r="BH91" i="24" s="1"/>
  <c r="BH20" i="24"/>
  <c r="BH17" i="24"/>
  <c r="BH18" i="24" s="1"/>
  <c r="BH19" i="24" s="1"/>
  <c r="BG52" i="24"/>
  <c r="BG53" i="24" s="1"/>
  <c r="BD23" i="24"/>
  <c r="BG37" i="24"/>
  <c r="BH43" i="24"/>
  <c r="BH41" i="24"/>
  <c r="BH42" i="24"/>
  <c r="BH12" i="24"/>
  <c r="BH13" i="24" s="1"/>
  <c r="BH36" i="24"/>
  <c r="BI33" i="24"/>
  <c r="BI34" i="24"/>
  <c r="BI28" i="24"/>
  <c r="BI32" i="24"/>
  <c r="BI29" i="24"/>
  <c r="BI30" i="24"/>
  <c r="BI31" i="24"/>
  <c r="BI6" i="24"/>
  <c r="BI40" i="24"/>
  <c r="BI7" i="24"/>
  <c r="BI9" i="24"/>
  <c r="BI4" i="24"/>
  <c r="BI27" i="24"/>
  <c r="BJ5" i="24"/>
  <c r="BJ85" i="24" s="1"/>
  <c r="BI10" i="24"/>
  <c r="BI58" i="24"/>
  <c r="BI59" i="24" s="1"/>
  <c r="BI16" i="24"/>
  <c r="BI66" i="24"/>
  <c r="BI8" i="24"/>
  <c r="BF62" i="24"/>
  <c r="BE63" i="24"/>
  <c r="BH60" i="24"/>
  <c r="BH67" i="24"/>
  <c r="BH72" i="24" s="1"/>
  <c r="BH73" i="24" s="1"/>
  <c r="N9" i="6"/>
  <c r="O8" i="6"/>
  <c r="P8" i="6" s="1"/>
  <c r="BI45" i="24" l="1"/>
  <c r="BI21" i="24"/>
  <c r="BI88" i="24" s="1"/>
  <c r="BI91" i="24" s="1"/>
  <c r="BI20" i="24"/>
  <c r="BI17" i="24"/>
  <c r="BI18" i="24" s="1"/>
  <c r="BI19" i="24" s="1"/>
  <c r="BH52" i="24"/>
  <c r="BH53" i="24" s="1"/>
  <c r="BE23" i="24"/>
  <c r="BH37" i="24"/>
  <c r="BI43" i="24"/>
  <c r="BI41" i="24"/>
  <c r="BI42" i="24"/>
  <c r="BF63" i="24"/>
  <c r="BI12" i="24"/>
  <c r="BI13" i="24" s="1"/>
  <c r="BG62" i="24"/>
  <c r="BI67" i="24"/>
  <c r="BI72" i="24" s="1"/>
  <c r="BI73" i="24" s="1"/>
  <c r="BI60" i="24"/>
  <c r="BI36" i="24"/>
  <c r="BJ34" i="24"/>
  <c r="BJ33" i="24"/>
  <c r="BJ32" i="24"/>
  <c r="BJ28" i="24"/>
  <c r="BJ29" i="24"/>
  <c r="BJ30" i="24"/>
  <c r="BJ31" i="24"/>
  <c r="BJ10" i="24"/>
  <c r="BJ8" i="24"/>
  <c r="BJ7" i="24"/>
  <c r="BJ4" i="24"/>
  <c r="BJ66" i="24"/>
  <c r="BJ27" i="24"/>
  <c r="BJ40" i="24"/>
  <c r="BJ58" i="24"/>
  <c r="BJ59" i="24" s="1"/>
  <c r="BJ16" i="24"/>
  <c r="BJ6" i="24"/>
  <c r="BK5" i="24"/>
  <c r="BK85" i="24" s="1"/>
  <c r="BJ9" i="24"/>
  <c r="O9" i="6"/>
  <c r="P9" i="6"/>
  <c r="Q8" i="6"/>
  <c r="BJ45" i="24" l="1"/>
  <c r="BJ21" i="24"/>
  <c r="BJ20" i="24"/>
  <c r="BJ17" i="24"/>
  <c r="BJ18" i="24" s="1"/>
  <c r="BJ19" i="24" s="1"/>
  <c r="BI52" i="24"/>
  <c r="BI53" i="24" s="1"/>
  <c r="BF23" i="24"/>
  <c r="BI37" i="24"/>
  <c r="BJ43" i="24"/>
  <c r="BJ41" i="24"/>
  <c r="BJ42" i="24"/>
  <c r="BJ36" i="24"/>
  <c r="BJ12" i="24"/>
  <c r="BJ13" i="24" s="1"/>
  <c r="BJ67" i="24"/>
  <c r="BJ72" i="24" s="1"/>
  <c r="BJ73" i="24" s="1"/>
  <c r="BJ60" i="24"/>
  <c r="BG63" i="24"/>
  <c r="BH62" i="24"/>
  <c r="BK33" i="24"/>
  <c r="BK28" i="24"/>
  <c r="BK34" i="24"/>
  <c r="BK32" i="24"/>
  <c r="BK29" i="24"/>
  <c r="BK30" i="24"/>
  <c r="BK31" i="24"/>
  <c r="BK66" i="24"/>
  <c r="BL5" i="24"/>
  <c r="BL85" i="24" s="1"/>
  <c r="BK10" i="24"/>
  <c r="BK8" i="24"/>
  <c r="BK4" i="24"/>
  <c r="BK40" i="24"/>
  <c r="BK16" i="24"/>
  <c r="BK58" i="24"/>
  <c r="BK59" i="24" s="1"/>
  <c r="BK27" i="24"/>
  <c r="BK7" i="24"/>
  <c r="BK6" i="24"/>
  <c r="BK9" i="24"/>
  <c r="R8" i="6"/>
  <c r="Q9" i="6"/>
  <c r="BJ88" i="24" l="1"/>
  <c r="BJ91" i="24" s="1"/>
  <c r="BK45" i="24"/>
  <c r="BK21" i="24"/>
  <c r="BK88" i="24" s="1"/>
  <c r="BK91" i="24" s="1"/>
  <c r="BK20" i="24"/>
  <c r="BK17" i="24"/>
  <c r="BK18" i="24" s="1"/>
  <c r="BK19" i="24" s="1"/>
  <c r="BG23" i="24"/>
  <c r="BJ37" i="24"/>
  <c r="BK43" i="24"/>
  <c r="BK41" i="24"/>
  <c r="BK42" i="24"/>
  <c r="BH63" i="24"/>
  <c r="BK67" i="24"/>
  <c r="BK72" i="24" s="1"/>
  <c r="BK73" i="24" s="1"/>
  <c r="BK60" i="24"/>
  <c r="BI62" i="24"/>
  <c r="BK12" i="24"/>
  <c r="BK13" i="24" s="1"/>
  <c r="BK36" i="24"/>
  <c r="BJ52" i="24"/>
  <c r="BJ53" i="24" s="1"/>
  <c r="BL33" i="24"/>
  <c r="BL34" i="24"/>
  <c r="BL32" i="24"/>
  <c r="BL28" i="24"/>
  <c r="BL29" i="24"/>
  <c r="BL30" i="24"/>
  <c r="BL31" i="24"/>
  <c r="BL4" i="24"/>
  <c r="BL16" i="24"/>
  <c r="BL10" i="24"/>
  <c r="BL8" i="24"/>
  <c r="BL66" i="24"/>
  <c r="BL6" i="24"/>
  <c r="BL40" i="24"/>
  <c r="BL9" i="24"/>
  <c r="BL27" i="24"/>
  <c r="BL58" i="24"/>
  <c r="BL59" i="24" s="1"/>
  <c r="BL7" i="24"/>
  <c r="BM5" i="24"/>
  <c r="BM85" i="24" s="1"/>
  <c r="S8" i="6"/>
  <c r="R9" i="6"/>
  <c r="BL45" i="24" l="1"/>
  <c r="BL20" i="24"/>
  <c r="BL21" i="24"/>
  <c r="BL88" i="24" s="1"/>
  <c r="BL91" i="24" s="1"/>
  <c r="BL17" i="24"/>
  <c r="BL18" i="24" s="1"/>
  <c r="BL19" i="24" s="1"/>
  <c r="BH23" i="24"/>
  <c r="BK37" i="24"/>
  <c r="BL43" i="24"/>
  <c r="BL41" i="24"/>
  <c r="BL42" i="24"/>
  <c r="BL12" i="24"/>
  <c r="BL13" i="24" s="1"/>
  <c r="BK52" i="24"/>
  <c r="BK53" i="24" s="1"/>
  <c r="BI63" i="24"/>
  <c r="BJ62" i="24"/>
  <c r="BM33" i="24"/>
  <c r="BM34" i="24"/>
  <c r="BM32" i="24"/>
  <c r="BM28" i="24"/>
  <c r="BM29" i="24"/>
  <c r="BM30" i="24"/>
  <c r="BM31" i="24"/>
  <c r="BM7" i="24"/>
  <c r="BM6" i="24"/>
  <c r="BM9" i="24"/>
  <c r="BM27" i="24"/>
  <c r="BM66" i="24"/>
  <c r="BN5" i="24"/>
  <c r="BN85" i="24" s="1"/>
  <c r="BM40" i="24"/>
  <c r="BM16" i="24"/>
  <c r="BM58" i="24"/>
  <c r="BM59" i="24" s="1"/>
  <c r="BM8" i="24"/>
  <c r="BM10" i="24"/>
  <c r="BM4" i="24"/>
  <c r="BL67" i="24"/>
  <c r="BL72" i="24" s="1"/>
  <c r="BL73" i="24" s="1"/>
  <c r="BL60" i="24"/>
  <c r="BL36" i="24"/>
  <c r="T8" i="6"/>
  <c r="S9" i="6"/>
  <c r="BM45" i="24" l="1"/>
  <c r="BM20" i="24"/>
  <c r="BM21" i="24"/>
  <c r="BM88" i="24" s="1"/>
  <c r="BM91" i="24" s="1"/>
  <c r="BM17" i="24"/>
  <c r="BM18" i="24" s="1"/>
  <c r="BM19" i="24" s="1"/>
  <c r="BI23" i="24"/>
  <c r="BL37" i="24"/>
  <c r="BM43" i="24"/>
  <c r="BM41" i="24"/>
  <c r="BM42" i="24"/>
  <c r="BM36" i="24"/>
  <c r="BM60" i="24"/>
  <c r="BM67" i="24"/>
  <c r="BM72" i="24" s="1"/>
  <c r="BM73" i="24" s="1"/>
  <c r="BN33" i="24"/>
  <c r="BN34" i="24"/>
  <c r="BN28" i="24"/>
  <c r="BN32" i="24"/>
  <c r="BN29" i="24"/>
  <c r="BN30" i="24"/>
  <c r="BN31" i="24"/>
  <c r="BN66" i="24"/>
  <c r="BN6" i="24"/>
  <c r="BN16" i="24"/>
  <c r="BN8" i="24"/>
  <c r="BO5" i="24"/>
  <c r="BO85" i="24" s="1"/>
  <c r="BN7" i="24"/>
  <c r="BN58" i="24"/>
  <c r="BN59" i="24" s="1"/>
  <c r="BN10" i="24"/>
  <c r="BN9" i="24"/>
  <c r="BN4" i="24"/>
  <c r="BN27" i="24"/>
  <c r="BN40" i="24"/>
  <c r="BJ63" i="24"/>
  <c r="BK62" i="24"/>
  <c r="BL52" i="24"/>
  <c r="BL53" i="24" s="1"/>
  <c r="BM12" i="24"/>
  <c r="BM13" i="24" s="1"/>
  <c r="U8" i="6"/>
  <c r="T9" i="6"/>
  <c r="BN45" i="24" l="1"/>
  <c r="BN20" i="24"/>
  <c r="BN21" i="24"/>
  <c r="BN17" i="24"/>
  <c r="BN18" i="24" s="1"/>
  <c r="BN19" i="24" s="1"/>
  <c r="BJ23" i="24"/>
  <c r="BM52" i="24"/>
  <c r="BM53" i="24" s="1"/>
  <c r="BM37" i="24"/>
  <c r="BN43" i="24"/>
  <c r="BN41" i="24"/>
  <c r="BN42" i="24"/>
  <c r="BK63" i="24"/>
  <c r="BN36" i="24"/>
  <c r="BN67" i="24"/>
  <c r="BN72" i="24" s="1"/>
  <c r="BN73" i="24" s="1"/>
  <c r="BN60" i="24"/>
  <c r="BO33" i="24"/>
  <c r="BO34" i="24"/>
  <c r="BO32" i="24"/>
  <c r="BO28" i="24"/>
  <c r="BO29" i="24"/>
  <c r="BO30" i="24"/>
  <c r="BO31" i="24"/>
  <c r="BO16" i="24"/>
  <c r="BO40" i="24"/>
  <c r="BO4" i="24"/>
  <c r="BP5" i="24"/>
  <c r="BP85" i="24" s="1"/>
  <c r="BO27" i="24"/>
  <c r="BO10" i="24"/>
  <c r="BO7" i="24"/>
  <c r="BO58" i="24"/>
  <c r="BO59" i="24" s="1"/>
  <c r="BO66" i="24"/>
  <c r="BO6" i="24"/>
  <c r="BO9" i="24"/>
  <c r="BO8" i="24"/>
  <c r="BL62" i="24"/>
  <c r="BN12" i="24"/>
  <c r="BN13" i="24" s="1"/>
  <c r="V8" i="6"/>
  <c r="U9" i="6"/>
  <c r="BN88" i="24" l="1"/>
  <c r="BN91" i="24" s="1"/>
  <c r="BO45" i="24"/>
  <c r="BO20" i="24"/>
  <c r="BO21" i="24"/>
  <c r="BO88" i="24" s="1"/>
  <c r="BO91" i="24" s="1"/>
  <c r="BO17" i="24"/>
  <c r="BO18" i="24" s="1"/>
  <c r="BO19" i="24" s="1"/>
  <c r="BK23" i="24"/>
  <c r="BN37" i="24"/>
  <c r="BO43" i="24"/>
  <c r="BO41" i="24"/>
  <c r="BO42" i="24"/>
  <c r="BO12" i="24"/>
  <c r="BO13" i="24" s="1"/>
  <c r="BO36" i="24"/>
  <c r="BO67" i="24"/>
  <c r="BO72" i="24" s="1"/>
  <c r="BO73" i="24" s="1"/>
  <c r="BO60" i="24"/>
  <c r="BM62" i="24"/>
  <c r="BL63" i="24"/>
  <c r="BP34" i="24"/>
  <c r="BP33" i="24"/>
  <c r="BP28" i="24"/>
  <c r="BP32" i="24"/>
  <c r="BP29" i="24"/>
  <c r="BP30" i="24"/>
  <c r="BP31" i="24"/>
  <c r="BP40" i="24"/>
  <c r="BP27" i="24"/>
  <c r="BQ5" i="24"/>
  <c r="BP58" i="24"/>
  <c r="BP59" i="24" s="1"/>
  <c r="BP6" i="24"/>
  <c r="BP10" i="24"/>
  <c r="BP9" i="24"/>
  <c r="BP4" i="24"/>
  <c r="BP16" i="24"/>
  <c r="BP7" i="24"/>
  <c r="BP66" i="24"/>
  <c r="BP8" i="24"/>
  <c r="BN52" i="24"/>
  <c r="BN53" i="24" s="1"/>
  <c r="W8" i="6"/>
  <c r="V9" i="6"/>
  <c r="BQ85" i="24" l="1"/>
  <c r="J28" i="30"/>
  <c r="J25" i="30"/>
  <c r="J27" i="30"/>
  <c r="J32" i="30"/>
  <c r="J35" i="30"/>
  <c r="J26" i="30"/>
  <c r="J24" i="30"/>
  <c r="J10" i="30" s="1"/>
  <c r="J22" i="30"/>
  <c r="J31" i="30"/>
  <c r="J34" i="30"/>
  <c r="J40" i="30"/>
  <c r="J21" i="30"/>
  <c r="J37" i="30"/>
  <c r="J36" i="30"/>
  <c r="J30" i="30"/>
  <c r="J23" i="30"/>
  <c r="J29" i="30"/>
  <c r="J33" i="30"/>
  <c r="J38" i="30"/>
  <c r="J39" i="30"/>
  <c r="J42" i="30"/>
  <c r="J41" i="30"/>
  <c r="J44" i="30"/>
  <c r="J43" i="30"/>
  <c r="J47" i="30"/>
  <c r="J46" i="30"/>
  <c r="J45" i="30"/>
  <c r="J48" i="30"/>
  <c r="J49" i="30"/>
  <c r="J50" i="30"/>
  <c r="J51" i="30"/>
  <c r="J52" i="30"/>
  <c r="BP45" i="24"/>
  <c r="BP21" i="24"/>
  <c r="BP88" i="24" s="1"/>
  <c r="BP91" i="24" s="1"/>
  <c r="BP20" i="24"/>
  <c r="BP17" i="24"/>
  <c r="BP18" i="24" s="1"/>
  <c r="BP19" i="24" s="1"/>
  <c r="BL23" i="24"/>
  <c r="BO37" i="24"/>
  <c r="BP43" i="24"/>
  <c r="BP41" i="24"/>
  <c r="BP42" i="24"/>
  <c r="BP36" i="24"/>
  <c r="O84" i="24"/>
  <c r="AS44" i="24"/>
  <c r="AA44" i="24"/>
  <c r="AO44" i="24"/>
  <c r="AK44" i="24"/>
  <c r="AV44" i="24"/>
  <c r="AP44" i="24"/>
  <c r="U44" i="24"/>
  <c r="U87" i="24" s="1"/>
  <c r="U90" i="24" s="1"/>
  <c r="AL44" i="24"/>
  <c r="AQ84" i="24"/>
  <c r="AB44" i="24"/>
  <c r="AE44" i="24"/>
  <c r="AY44" i="24"/>
  <c r="BA44" i="24"/>
  <c r="AN44" i="24"/>
  <c r="BD84" i="24"/>
  <c r="AJ44" i="24"/>
  <c r="BI44" i="24"/>
  <c r="BG44" i="24"/>
  <c r="BC44" i="24"/>
  <c r="AC44" i="24"/>
  <c r="AU44" i="24"/>
  <c r="BL44" i="24"/>
  <c r="AQ44" i="24"/>
  <c r="BK44" i="24"/>
  <c r="BJ44" i="24"/>
  <c r="W44" i="24"/>
  <c r="AX44" i="24"/>
  <c r="N84" i="24"/>
  <c r="AD44" i="24"/>
  <c r="BM84" i="24"/>
  <c r="AF44" i="24"/>
  <c r="BM44" i="24"/>
  <c r="AW44" i="24"/>
  <c r="BI84" i="24"/>
  <c r="BL84" i="24"/>
  <c r="BD44" i="24"/>
  <c r="BH84" i="24"/>
  <c r="AG44" i="24"/>
  <c r="K84" i="24"/>
  <c r="L84" i="24"/>
  <c r="AT44" i="24"/>
  <c r="AD84" i="24"/>
  <c r="AC84" i="24"/>
  <c r="AI44" i="24"/>
  <c r="AU84" i="24"/>
  <c r="BH44" i="24"/>
  <c r="BC84" i="24"/>
  <c r="BE84" i="24"/>
  <c r="BF44" i="24"/>
  <c r="AH44" i="24"/>
  <c r="AF84" i="24"/>
  <c r="AR44" i="24"/>
  <c r="BB44" i="24"/>
  <c r="AM44" i="24"/>
  <c r="Y44" i="24"/>
  <c r="Y84" i="24"/>
  <c r="X84" i="24"/>
  <c r="Z44" i="24"/>
  <c r="Z87" i="24" s="1"/>
  <c r="AI84" i="24"/>
  <c r="BJ84" i="24"/>
  <c r="AX84" i="24"/>
  <c r="AE84" i="24"/>
  <c r="AZ84" i="24"/>
  <c r="AM84" i="24"/>
  <c r="AT84" i="24"/>
  <c r="BN84" i="24"/>
  <c r="BF84" i="24"/>
  <c r="AZ44" i="24"/>
  <c r="AH84" i="24"/>
  <c r="AV84" i="24"/>
  <c r="BG84" i="24"/>
  <c r="BA84" i="24"/>
  <c r="AS84" i="24"/>
  <c r="AN84" i="24"/>
  <c r="BB84" i="24"/>
  <c r="AJ84" i="24"/>
  <c r="X44" i="24"/>
  <c r="AP84" i="24"/>
  <c r="BP84" i="24"/>
  <c r="BO84" i="24"/>
  <c r="AK84" i="24"/>
  <c r="BQ84" i="24"/>
  <c r="AG84" i="24"/>
  <c r="Z84" i="24"/>
  <c r="AL84" i="24"/>
  <c r="AR84" i="24"/>
  <c r="AB84" i="24"/>
  <c r="AW84" i="24"/>
  <c r="AO84" i="24"/>
  <c r="BE44" i="24"/>
  <c r="M84" i="24"/>
  <c r="BK84" i="24"/>
  <c r="AY84" i="24"/>
  <c r="J84" i="24"/>
  <c r="AA84" i="24"/>
  <c r="BO52" i="24"/>
  <c r="BO53" i="24" s="1"/>
  <c r="BP12" i="24"/>
  <c r="BP13" i="24" s="1"/>
  <c r="BP60" i="24"/>
  <c r="BP67" i="24"/>
  <c r="BP72" i="24" s="1"/>
  <c r="BP73" i="24" s="1"/>
  <c r="BQ33" i="24"/>
  <c r="BQ34" i="24"/>
  <c r="U38" i="24" s="1"/>
  <c r="BQ32" i="24"/>
  <c r="BQ28" i="24"/>
  <c r="BQ29" i="24"/>
  <c r="BQ30" i="24"/>
  <c r="BQ31" i="24"/>
  <c r="BQ27" i="24"/>
  <c r="BQ7" i="24"/>
  <c r="I7" i="24" s="1"/>
  <c r="BQ66" i="24"/>
  <c r="BQ58" i="24"/>
  <c r="BQ59" i="24" s="1"/>
  <c r="BQ10" i="24"/>
  <c r="I10" i="24" s="1"/>
  <c r="BQ40" i="24"/>
  <c r="BQ8" i="24"/>
  <c r="I8" i="24" s="1"/>
  <c r="BQ6" i="24"/>
  <c r="BQ9" i="24"/>
  <c r="I9" i="24" s="1"/>
  <c r="BQ16" i="24"/>
  <c r="BQ4" i="24"/>
  <c r="BM63" i="24"/>
  <c r="BN62" i="24"/>
  <c r="F14" i="27"/>
  <c r="F15" i="27" s="1"/>
  <c r="X8" i="6"/>
  <c r="W9" i="6"/>
  <c r="BP52" i="24" l="1"/>
  <c r="BQ45" i="24"/>
  <c r="I45" i="24" s="1"/>
  <c r="BQ21" i="24"/>
  <c r="I21" i="24" s="1"/>
  <c r="BQ20" i="24"/>
  <c r="BQ17" i="24"/>
  <c r="BQ18" i="24" s="1"/>
  <c r="BM23" i="24"/>
  <c r="BP37" i="24"/>
  <c r="BQ43" i="24"/>
  <c r="I43" i="24" s="1"/>
  <c r="BQ41" i="24"/>
  <c r="BQ42" i="24"/>
  <c r="I42" i="24" s="1"/>
  <c r="AF87" i="24"/>
  <c r="AF90" i="24" s="1"/>
  <c r="AF50" i="24"/>
  <c r="AF47" i="24"/>
  <c r="AF76" i="24" s="1"/>
  <c r="BG87" i="24"/>
  <c r="BG90" i="24" s="1"/>
  <c r="BG50" i="24"/>
  <c r="BG47" i="24"/>
  <c r="BG76" i="24" s="1"/>
  <c r="AG87" i="24"/>
  <c r="AG90" i="24" s="1"/>
  <c r="AG50" i="24"/>
  <c r="AG47" i="24"/>
  <c r="AG76" i="24" s="1"/>
  <c r="W50" i="24"/>
  <c r="W87" i="24"/>
  <c r="W90" i="24" s="1"/>
  <c r="W47" i="24"/>
  <c r="AN87" i="24"/>
  <c r="AN90" i="24" s="1"/>
  <c r="AN50" i="24"/>
  <c r="AN47" i="24"/>
  <c r="AN76" i="24" s="1"/>
  <c r="AO47" i="24"/>
  <c r="AO76" i="24" s="1"/>
  <c r="AO87" i="24"/>
  <c r="AO90" i="24" s="1"/>
  <c r="AO50" i="24"/>
  <c r="AW87" i="24"/>
  <c r="AW90" i="24" s="1"/>
  <c r="AW50" i="24"/>
  <c r="AW47" i="24"/>
  <c r="AW76" i="24" s="1"/>
  <c r="X50" i="24"/>
  <c r="X87" i="24"/>
  <c r="X90" i="24" s="1"/>
  <c r="X47" i="24"/>
  <c r="BB47" i="24"/>
  <c r="BB76" i="24" s="1"/>
  <c r="BB87" i="24"/>
  <c r="BB90" i="24" s="1"/>
  <c r="BB50" i="24"/>
  <c r="BC87" i="24"/>
  <c r="BC90" i="24" s="1"/>
  <c r="BC50" i="24"/>
  <c r="BC47" i="24"/>
  <c r="BC76" i="24" s="1"/>
  <c r="AL87" i="24"/>
  <c r="AL90" i="24" s="1"/>
  <c r="AL50" i="24"/>
  <c r="AL47" i="24"/>
  <c r="AL76" i="24" s="1"/>
  <c r="AR47" i="24"/>
  <c r="AR76" i="24" s="1"/>
  <c r="AR87" i="24"/>
  <c r="AR90" i="24" s="1"/>
  <c r="AR50" i="24"/>
  <c r="AJ87" i="24"/>
  <c r="AJ90" i="24" s="1"/>
  <c r="AJ50" i="24"/>
  <c r="AJ47" i="24"/>
  <c r="AJ76" i="24" s="1"/>
  <c r="BD47" i="24"/>
  <c r="BD76" i="24" s="1"/>
  <c r="BD87" i="24"/>
  <c r="BD90" i="24" s="1"/>
  <c r="BD50" i="24"/>
  <c r="BJ87" i="24"/>
  <c r="BJ90" i="24" s="1"/>
  <c r="BJ50" i="24"/>
  <c r="BJ47" i="24"/>
  <c r="BJ76" i="24" s="1"/>
  <c r="BA87" i="24"/>
  <c r="BA90" i="24" s="1"/>
  <c r="BA47" i="24"/>
  <c r="BA76" i="24" s="1"/>
  <c r="BA50" i="24"/>
  <c r="AA87" i="24"/>
  <c r="AA90" i="24" s="1"/>
  <c r="AA47" i="24"/>
  <c r="AA76" i="24" s="1"/>
  <c r="AA50" i="24"/>
  <c r="Z90" i="24"/>
  <c r="BK87" i="24"/>
  <c r="BK90" i="24" s="1"/>
  <c r="BK47" i="24"/>
  <c r="BK76" i="24" s="1"/>
  <c r="BK50" i="24"/>
  <c r="AZ87" i="24"/>
  <c r="AZ90" i="24" s="1"/>
  <c r="AZ50" i="24"/>
  <c r="AZ47" i="24"/>
  <c r="AZ76" i="24" s="1"/>
  <c r="BL87" i="24"/>
  <c r="BL90" i="24" s="1"/>
  <c r="BL47" i="24"/>
  <c r="BL76" i="24" s="1"/>
  <c r="BL50" i="24"/>
  <c r="AE87" i="24"/>
  <c r="AE90" i="24" s="1"/>
  <c r="AE50" i="24"/>
  <c r="AE47" i="24"/>
  <c r="AE76" i="24" s="1"/>
  <c r="Y50" i="24"/>
  <c r="Y87" i="24"/>
  <c r="Y90" i="24" s="1"/>
  <c r="Y47" i="24"/>
  <c r="AI87" i="24"/>
  <c r="AI90" i="24" s="1"/>
  <c r="AI47" i="24"/>
  <c r="AI76" i="24" s="1"/>
  <c r="AI50" i="24"/>
  <c r="AU87" i="24"/>
  <c r="AU90" i="24" s="1"/>
  <c r="AU50" i="24"/>
  <c r="AU47" i="24"/>
  <c r="AU76" i="24" s="1"/>
  <c r="AB87" i="24"/>
  <c r="AB90" i="24" s="1"/>
  <c r="AB47" i="24"/>
  <c r="AB76" i="24" s="1"/>
  <c r="AB50" i="24"/>
  <c r="BE87" i="24"/>
  <c r="BE90" i="24" s="1"/>
  <c r="BE50" i="24"/>
  <c r="BE47" i="24"/>
  <c r="BE76" i="24" s="1"/>
  <c r="AM87" i="24"/>
  <c r="AM90" i="24" s="1"/>
  <c r="AM47" i="24"/>
  <c r="AM76" i="24" s="1"/>
  <c r="AM50" i="24"/>
  <c r="BM87" i="24"/>
  <c r="BM90" i="24" s="1"/>
  <c r="BM50" i="24"/>
  <c r="BM47" i="24"/>
  <c r="AC87" i="24"/>
  <c r="AC90" i="24" s="1"/>
  <c r="AC50" i="24"/>
  <c r="AC47" i="24"/>
  <c r="AC76" i="24" s="1"/>
  <c r="AT87" i="24"/>
  <c r="AT90" i="24" s="1"/>
  <c r="AT50" i="24"/>
  <c r="AT47" i="24"/>
  <c r="AT76" i="24" s="1"/>
  <c r="AD87" i="24"/>
  <c r="AD90" i="24" s="1"/>
  <c r="AD47" i="24"/>
  <c r="AD76" i="24" s="1"/>
  <c r="AD50" i="24"/>
  <c r="BI87" i="24"/>
  <c r="BI90" i="24" s="1"/>
  <c r="BI50" i="24"/>
  <c r="BI47" i="24"/>
  <c r="BI76" i="24" s="1"/>
  <c r="AP87" i="24"/>
  <c r="AP90" i="24" s="1"/>
  <c r="AP50" i="24"/>
  <c r="AP47" i="24"/>
  <c r="AP76" i="24" s="1"/>
  <c r="AH87" i="24"/>
  <c r="AH90" i="24" s="1"/>
  <c r="AH47" i="24"/>
  <c r="AH76" i="24" s="1"/>
  <c r="AH50" i="24"/>
  <c r="AV87" i="24"/>
  <c r="AV90" i="24" s="1"/>
  <c r="AV50" i="24"/>
  <c r="AV47" i="24"/>
  <c r="AV76" i="24" s="1"/>
  <c r="BF87" i="24"/>
  <c r="BF90" i="24" s="1"/>
  <c r="BF50" i="24"/>
  <c r="BF47" i="24"/>
  <c r="BF76" i="24" s="1"/>
  <c r="AX87" i="24"/>
  <c r="AX90" i="24" s="1"/>
  <c r="AX47" i="24"/>
  <c r="AX76" i="24" s="1"/>
  <c r="AX50" i="24"/>
  <c r="AK87" i="24"/>
  <c r="AK90" i="24" s="1"/>
  <c r="AK50" i="24"/>
  <c r="AK47" i="24"/>
  <c r="AK76" i="24" s="1"/>
  <c r="BH87" i="24"/>
  <c r="BH90" i="24" s="1"/>
  <c r="BH50" i="24"/>
  <c r="BH47" i="24"/>
  <c r="BH76" i="24" s="1"/>
  <c r="AQ87" i="24"/>
  <c r="AQ90" i="24" s="1"/>
  <c r="AQ47" i="24"/>
  <c r="AQ76" i="24" s="1"/>
  <c r="AQ50" i="24"/>
  <c r="AY47" i="24"/>
  <c r="AY76" i="24" s="1"/>
  <c r="AY87" i="24"/>
  <c r="AY90" i="24" s="1"/>
  <c r="AY50" i="24"/>
  <c r="AS87" i="24"/>
  <c r="AS90" i="24" s="1"/>
  <c r="AS47" i="24"/>
  <c r="AS76" i="24" s="1"/>
  <c r="AS50" i="24"/>
  <c r="BP53" i="24"/>
  <c r="BQ36" i="24"/>
  <c r="BQ88" i="24"/>
  <c r="BQ91" i="24" s="1"/>
  <c r="BQ12" i="24"/>
  <c r="I6" i="24"/>
  <c r="BQ67" i="24"/>
  <c r="BQ60" i="24"/>
  <c r="I60" i="24" s="1"/>
  <c r="BN63" i="24"/>
  <c r="BO62" i="24"/>
  <c r="O88" i="24"/>
  <c r="O91" i="24" s="1"/>
  <c r="K88" i="24"/>
  <c r="L88" i="24"/>
  <c r="M88" i="24"/>
  <c r="N88" i="24"/>
  <c r="Y8" i="6"/>
  <c r="X9" i="6"/>
  <c r="BM76" i="24" l="1"/>
  <c r="BQ19" i="24"/>
  <c r="I19" i="24" s="1"/>
  <c r="I18" i="24"/>
  <c r="BN44" i="24"/>
  <c r="BQ37" i="24"/>
  <c r="AS78" i="24"/>
  <c r="BE78" i="24"/>
  <c r="J88" i="24"/>
  <c r="BO63" i="24"/>
  <c r="BQ62" i="24"/>
  <c r="BP62" i="24"/>
  <c r="BQ13" i="24"/>
  <c r="I12" i="24"/>
  <c r="I67" i="24"/>
  <c r="BQ72" i="24"/>
  <c r="BQ73" i="24" s="1"/>
  <c r="BQ52" i="24"/>
  <c r="BQ53" i="24" s="1"/>
  <c r="I17" i="24"/>
  <c r="I41" i="24"/>
  <c r="O50" i="24"/>
  <c r="O47" i="24"/>
  <c r="Z8" i="6"/>
  <c r="Y9" i="6"/>
  <c r="BN50" i="24" l="1"/>
  <c r="BN47" i="24"/>
  <c r="BP63" i="24"/>
  <c r="BQ63" i="24" s="1"/>
  <c r="I59" i="24"/>
  <c r="P47" i="24"/>
  <c r="P50" i="24"/>
  <c r="AA8" i="6"/>
  <c r="Z9" i="6"/>
  <c r="BN23" i="24" l="1"/>
  <c r="BN76" i="24" s="1"/>
  <c r="BN87" i="24"/>
  <c r="BN90" i="24" s="1"/>
  <c r="BO44" i="24"/>
  <c r="Q50" i="24"/>
  <c r="Q47" i="24"/>
  <c r="AB8" i="6"/>
  <c r="AA9" i="6"/>
  <c r="BO50" i="24" l="1"/>
  <c r="BO47" i="24"/>
  <c r="R47" i="24"/>
  <c r="R50" i="24"/>
  <c r="AC8" i="6"/>
  <c r="AB9" i="6"/>
  <c r="BP44" i="24" l="1"/>
  <c r="BO23" i="24"/>
  <c r="BO76" i="24" s="1"/>
  <c r="BO87" i="24"/>
  <c r="BO90" i="24" s="1"/>
  <c r="S47" i="24"/>
  <c r="S50" i="24"/>
  <c r="AD8" i="6"/>
  <c r="AC9" i="6"/>
  <c r="BP50" i="24" l="1"/>
  <c r="BP47" i="24"/>
  <c r="T50" i="24"/>
  <c r="T47" i="24"/>
  <c r="AE8" i="6"/>
  <c r="AD9" i="6"/>
  <c r="BP23" i="24" l="1"/>
  <c r="BP76" i="24" s="1"/>
  <c r="BP87" i="24"/>
  <c r="BP90" i="24" s="1"/>
  <c r="BQ44" i="24"/>
  <c r="U50" i="24"/>
  <c r="U47" i="24"/>
  <c r="AF8" i="6"/>
  <c r="AE9" i="6"/>
  <c r="BQ47" i="24" l="1"/>
  <c r="BQ50" i="24"/>
  <c r="I44" i="24"/>
  <c r="AG8" i="6"/>
  <c r="AF9" i="6"/>
  <c r="BQ87" i="24" l="1"/>
  <c r="BQ90" i="24" s="1"/>
  <c r="BQ23" i="24"/>
  <c r="BQ76" i="24" s="1"/>
  <c r="BQ78" i="24" s="1"/>
  <c r="AH8" i="6"/>
  <c r="AG9" i="6"/>
  <c r="AI8" i="6" l="1"/>
  <c r="AH9" i="6"/>
  <c r="AJ8" i="6" l="1"/>
  <c r="AI9" i="6"/>
  <c r="AK8" i="6" l="1"/>
  <c r="AJ9" i="6"/>
  <c r="AL8" i="6" l="1"/>
  <c r="AK9" i="6"/>
  <c r="AM8" i="6" l="1"/>
  <c r="AL9" i="6"/>
  <c r="AN8" i="6" l="1"/>
  <c r="AM9" i="6"/>
  <c r="AO8" i="6" l="1"/>
  <c r="AN9" i="6"/>
  <c r="AP8" i="6" l="1"/>
  <c r="AO9" i="6"/>
  <c r="AQ8" i="6" l="1"/>
  <c r="AP9" i="6"/>
  <c r="AR8" i="6" l="1"/>
  <c r="AQ9" i="6"/>
  <c r="AS8" i="6" l="1"/>
  <c r="AR9" i="6"/>
  <c r="E14" i="30" l="1"/>
  <c r="E13" i="30"/>
  <c r="E16" i="30"/>
  <c r="E15" i="30"/>
  <c r="AT8" i="6"/>
  <c r="AS9" i="6"/>
  <c r="AU8" i="6" l="1"/>
  <c r="AT9" i="6"/>
  <c r="AV8" i="6" l="1"/>
  <c r="AU9" i="6"/>
  <c r="AW8" i="6" l="1"/>
  <c r="AV9" i="6"/>
  <c r="AX8" i="6" l="1"/>
  <c r="AW9" i="6"/>
  <c r="AY8" i="6" l="1"/>
  <c r="AX9" i="6"/>
  <c r="F14" i="28" l="1"/>
  <c r="F15" i="28" s="1"/>
  <c r="AZ8" i="6"/>
  <c r="AY9" i="6"/>
  <c r="O87" i="24" l="1"/>
  <c r="O90" i="24" s="1"/>
  <c r="M87" i="24"/>
  <c r="N87" i="24"/>
  <c r="K87" i="24"/>
  <c r="L87" i="24"/>
  <c r="BA8" i="6"/>
  <c r="AZ9" i="6"/>
  <c r="I20" i="24" l="1"/>
  <c r="J87" i="24"/>
  <c r="Z47" i="24"/>
  <c r="Z50" i="24"/>
  <c r="X23" i="24"/>
  <c r="X76" i="24" s="1"/>
  <c r="Z23" i="24"/>
  <c r="W23" i="24"/>
  <c r="W76" i="24" s="1"/>
  <c r="V23" i="24"/>
  <c r="V76" i="24" s="1"/>
  <c r="Y23" i="24"/>
  <c r="Y76" i="24" s="1"/>
  <c r="O23" i="24"/>
  <c r="O76" i="24" s="1"/>
  <c r="N50" i="24"/>
  <c r="N47" i="24"/>
  <c r="L23" i="24"/>
  <c r="L76" i="24" s="1"/>
  <c r="K23" i="24"/>
  <c r="K76" i="24" s="1"/>
  <c r="N23" i="24"/>
  <c r="M23" i="24"/>
  <c r="M76" i="24" s="1"/>
  <c r="J23" i="24"/>
  <c r="J76" i="24" s="1"/>
  <c r="BB8" i="6"/>
  <c r="BA9" i="6"/>
  <c r="Z76" i="24" l="1"/>
  <c r="N76" i="24"/>
  <c r="P23" i="24"/>
  <c r="P76" i="24" s="1"/>
  <c r="J24" i="24"/>
  <c r="K24" i="24" s="1"/>
  <c r="L24" i="24" s="1"/>
  <c r="M24" i="24" s="1"/>
  <c r="N24" i="24" s="1"/>
  <c r="N25" i="24" s="1"/>
  <c r="J19" i="30" s="1"/>
  <c r="N48" i="24"/>
  <c r="O48" i="24" s="1"/>
  <c r="P48" i="24" s="1"/>
  <c r="Q48" i="24" s="1"/>
  <c r="R48" i="24" s="1"/>
  <c r="S48" i="24" s="1"/>
  <c r="T48" i="24" s="1"/>
  <c r="U48" i="24" s="1"/>
  <c r="V48" i="24" s="1"/>
  <c r="W48" i="24" s="1"/>
  <c r="X48" i="24" s="1"/>
  <c r="Y48" i="24" s="1"/>
  <c r="Z48" i="24" s="1"/>
  <c r="AA48" i="24" s="1"/>
  <c r="AB48" i="24" s="1"/>
  <c r="AC48" i="24" s="1"/>
  <c r="AD48" i="24" s="1"/>
  <c r="AE48" i="24" s="1"/>
  <c r="AF48" i="24" s="1"/>
  <c r="AG48" i="24" s="1"/>
  <c r="AH48" i="24" s="1"/>
  <c r="AI48" i="24" s="1"/>
  <c r="AJ48" i="24" s="1"/>
  <c r="AK48" i="24" s="1"/>
  <c r="AL48" i="24" s="1"/>
  <c r="AM48" i="24" s="1"/>
  <c r="AN48" i="24" s="1"/>
  <c r="AO48" i="24" s="1"/>
  <c r="AP48" i="24" s="1"/>
  <c r="AQ48" i="24" s="1"/>
  <c r="AR48" i="24" s="1"/>
  <c r="AS48" i="24" s="1"/>
  <c r="AT48" i="24" s="1"/>
  <c r="AU48" i="24" s="1"/>
  <c r="AV48" i="24" s="1"/>
  <c r="AW48" i="24" s="1"/>
  <c r="AX48" i="24" s="1"/>
  <c r="AY48" i="24" s="1"/>
  <c r="AZ48" i="24" s="1"/>
  <c r="BA48" i="24" s="1"/>
  <c r="BB48" i="24" s="1"/>
  <c r="BC48" i="24" s="1"/>
  <c r="BD48" i="24" s="1"/>
  <c r="BE48" i="24" s="1"/>
  <c r="BF48" i="24" s="1"/>
  <c r="BG48" i="24" s="1"/>
  <c r="BH48" i="24" s="1"/>
  <c r="BI48" i="24" s="1"/>
  <c r="BJ48" i="24" s="1"/>
  <c r="BK48" i="24" s="1"/>
  <c r="BL48" i="24" s="1"/>
  <c r="BM48" i="24" s="1"/>
  <c r="BN48" i="24" s="1"/>
  <c r="BO48" i="24" s="1"/>
  <c r="BP48" i="24" s="1"/>
  <c r="BQ48" i="24" s="1"/>
  <c r="N51" i="24"/>
  <c r="O51" i="24" s="1"/>
  <c r="P51" i="24" s="1"/>
  <c r="Q51" i="24" s="1"/>
  <c r="R51" i="24" s="1"/>
  <c r="S51" i="24" s="1"/>
  <c r="T51" i="24" s="1"/>
  <c r="U51" i="24" s="1"/>
  <c r="V51" i="24" s="1"/>
  <c r="W51" i="24" s="1"/>
  <c r="X51" i="24" s="1"/>
  <c r="Y51" i="24" s="1"/>
  <c r="Z51" i="24" s="1"/>
  <c r="AA51" i="24" s="1"/>
  <c r="AB51" i="24" s="1"/>
  <c r="AC51" i="24" s="1"/>
  <c r="AD51" i="24" s="1"/>
  <c r="AE51" i="24" s="1"/>
  <c r="AF51" i="24" s="1"/>
  <c r="AG51" i="24" s="1"/>
  <c r="AH51" i="24" s="1"/>
  <c r="AI51" i="24" s="1"/>
  <c r="AJ51" i="24" s="1"/>
  <c r="AK51" i="24" s="1"/>
  <c r="AL51" i="24" s="1"/>
  <c r="AM51" i="24" s="1"/>
  <c r="AN51" i="24" s="1"/>
  <c r="AO51" i="24" s="1"/>
  <c r="AP51" i="24" s="1"/>
  <c r="AQ51" i="24" s="1"/>
  <c r="AR51" i="24" s="1"/>
  <c r="AS51" i="24" s="1"/>
  <c r="AT51" i="24" s="1"/>
  <c r="AU51" i="24" s="1"/>
  <c r="AV51" i="24" s="1"/>
  <c r="AW51" i="24" s="1"/>
  <c r="AX51" i="24" s="1"/>
  <c r="AY51" i="24" s="1"/>
  <c r="AZ51" i="24" s="1"/>
  <c r="BA51" i="24" s="1"/>
  <c r="BB51" i="24" s="1"/>
  <c r="BC51" i="24" s="1"/>
  <c r="BD51" i="24" s="1"/>
  <c r="BE51" i="24" s="1"/>
  <c r="BF51" i="24" s="1"/>
  <c r="BG51" i="24" s="1"/>
  <c r="BH51" i="24" s="1"/>
  <c r="BI51" i="24" s="1"/>
  <c r="BJ51" i="24" s="1"/>
  <c r="BK51" i="24" s="1"/>
  <c r="BL51" i="24" s="1"/>
  <c r="BM51" i="24" s="1"/>
  <c r="BN51" i="24" s="1"/>
  <c r="BO51" i="24" s="1"/>
  <c r="BP51" i="24" s="1"/>
  <c r="BQ51" i="24" s="1"/>
  <c r="I50" i="24"/>
  <c r="BC8" i="6"/>
  <c r="BB9" i="6"/>
  <c r="O24" i="24" l="1"/>
  <c r="P24" i="24" s="1"/>
  <c r="Q23" i="24"/>
  <c r="Q76" i="24" s="1"/>
  <c r="AG78" i="24"/>
  <c r="BD8" i="6"/>
  <c r="BC9" i="6"/>
  <c r="R23" i="24" l="1"/>
  <c r="R76" i="24" s="1"/>
  <c r="Q24" i="24"/>
  <c r="BE8" i="6"/>
  <c r="BD9" i="6"/>
  <c r="R24" i="24" l="1"/>
  <c r="S23" i="24"/>
  <c r="S76" i="24" s="1"/>
  <c r="BF8" i="6"/>
  <c r="BE9" i="6"/>
  <c r="T23" i="24" l="1"/>
  <c r="T76" i="24" s="1"/>
  <c r="S24" i="24"/>
  <c r="BG8" i="6"/>
  <c r="BF9" i="6"/>
  <c r="T24" i="24" l="1"/>
  <c r="U23" i="24"/>
  <c r="U76" i="24" s="1"/>
  <c r="U78" i="24" s="1"/>
  <c r="BH8" i="6"/>
  <c r="BG9" i="6"/>
  <c r="U24" i="24" l="1"/>
  <c r="V24" i="24" s="1"/>
  <c r="W24" i="24" s="1"/>
  <c r="X24" i="24" s="1"/>
  <c r="Y24" i="24" s="1"/>
  <c r="Z24" i="24" s="1"/>
  <c r="AA24" i="24" s="1"/>
  <c r="AB24" i="24" s="1"/>
  <c r="AC24" i="24" s="1"/>
  <c r="AD24" i="24" s="1"/>
  <c r="AE24" i="24" s="1"/>
  <c r="AF24" i="24" s="1"/>
  <c r="AG24" i="24" s="1"/>
  <c r="AH24" i="24" s="1"/>
  <c r="AI24" i="24" s="1"/>
  <c r="AJ24" i="24" s="1"/>
  <c r="AK24" i="24" s="1"/>
  <c r="AL24" i="24" s="1"/>
  <c r="AM24" i="24" s="1"/>
  <c r="AN24" i="24" s="1"/>
  <c r="AO24" i="24" s="1"/>
  <c r="AP24" i="24" s="1"/>
  <c r="AQ24" i="24" s="1"/>
  <c r="AR24" i="24" s="1"/>
  <c r="AS24" i="24" s="1"/>
  <c r="AT24" i="24" s="1"/>
  <c r="AU24" i="24" s="1"/>
  <c r="AV24" i="24" s="1"/>
  <c r="AW24" i="24" s="1"/>
  <c r="AX24" i="24" s="1"/>
  <c r="AY24" i="24" s="1"/>
  <c r="AZ24" i="24" s="1"/>
  <c r="BA24" i="24" s="1"/>
  <c r="BB24" i="24" s="1"/>
  <c r="BC24" i="24" s="1"/>
  <c r="BD24" i="24" s="1"/>
  <c r="BE24" i="24" s="1"/>
  <c r="BF24" i="24" s="1"/>
  <c r="BG24" i="24" s="1"/>
  <c r="BH24" i="24" s="1"/>
  <c r="BI24" i="24" s="1"/>
  <c r="BJ24" i="24" s="1"/>
  <c r="BK24" i="24" s="1"/>
  <c r="BL24" i="24" s="1"/>
  <c r="BM24" i="24" s="1"/>
  <c r="BN24" i="24" s="1"/>
  <c r="BO24" i="24" s="1"/>
  <c r="BP24" i="24" s="1"/>
  <c r="BQ24" i="24" s="1"/>
  <c r="BI8" i="6"/>
  <c r="BH9" i="6"/>
  <c r="BJ8" i="6" l="1"/>
  <c r="BI9" i="6"/>
  <c r="BK8" i="6" l="1"/>
  <c r="BJ9" i="6"/>
  <c r="BK9" i="6" l="1"/>
  <c r="BL8" i="6"/>
  <c r="BL9" i="6" l="1"/>
  <c r="H4" i="14" l="1"/>
  <c r="H5" i="14" s="1"/>
  <c r="H6" i="14" s="1"/>
  <c r="H7" i="14" s="1"/>
  <c r="H8" i="14" s="1"/>
  <c r="H9" i="14" s="1"/>
  <c r="H10" i="14" s="1"/>
  <c r="H11" i="14" s="1"/>
  <c r="H12" i="14" s="1"/>
  <c r="H13" i="14" s="1"/>
  <c r="H14" i="14" s="1"/>
  <c r="H15" i="14" s="1"/>
  <c r="H16" i="14" s="1"/>
  <c r="H17" i="14" s="1"/>
  <c r="H18" i="14" s="1"/>
  <c r="H19" i="14" s="1"/>
  <c r="H20" i="14" s="1"/>
  <c r="H21" i="14" s="1"/>
  <c r="H22" i="14" s="1"/>
  <c r="H23" i="14" s="1"/>
  <c r="H24" i="14" s="1"/>
  <c r="H25" i="14" s="1"/>
  <c r="H26" i="14" l="1"/>
  <c r="H27" i="14" s="1"/>
  <c r="H28" i="14" s="1"/>
  <c r="H29" i="14" s="1"/>
  <c r="H30" i="14" s="1"/>
  <c r="H31" i="14" s="1"/>
  <c r="H32" i="14" s="1"/>
  <c r="H33" i="14" s="1"/>
  <c r="H34" i="14" s="1"/>
  <c r="H35" i="14" s="1"/>
  <c r="H36" i="14" s="1"/>
  <c r="H37" i="14" s="1"/>
  <c r="H38" i="14" s="1"/>
  <c r="H39" i="14" s="1"/>
  <c r="H40" i="14" s="1"/>
  <c r="H41" i="14" s="1"/>
  <c r="H42" i="14" s="1"/>
  <c r="H43" i="14" s="1"/>
  <c r="H44" i="14" s="1"/>
  <c r="H45" i="14" s="1"/>
  <c r="H46" i="14" s="1"/>
  <c r="H47" i="14" s="1"/>
  <c r="H48" i="14" s="1"/>
  <c r="H49" i="14" s="1"/>
  <c r="H50" i="14" s="1"/>
  <c r="H51" i="14" s="1"/>
  <c r="H52" i="14" s="1"/>
  <c r="H53" i="14" s="1"/>
  <c r="H54" i="14" s="1"/>
  <c r="H55" i="14" s="1"/>
  <c r="H56" i="14" s="1"/>
  <c r="H57" i="14" s="1"/>
  <c r="H58" i="14" s="1"/>
  <c r="H59" i="14" s="1"/>
  <c r="H60" i="14" s="1"/>
  <c r="H61" i="14" s="1"/>
  <c r="H62" i="14" s="1"/>
  <c r="H63" i="14" s="1"/>
  <c r="H64" i="14" s="1"/>
  <c r="H65" i="14" s="1"/>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G211" i="13" l="1"/>
  <c r="B130" i="13"/>
  <c r="F276" i="13"/>
  <c r="I98" i="13"/>
  <c r="E65" i="13"/>
  <c r="I201" i="13"/>
  <c r="H62" i="13"/>
  <c r="G277" i="13"/>
  <c r="I200" i="13"/>
  <c r="F221" i="13"/>
  <c r="H103" i="13"/>
  <c r="E78" i="13"/>
  <c r="G50" i="13"/>
  <c r="L50" i="13" s="1"/>
  <c r="H67" i="13"/>
  <c r="H272" i="13"/>
  <c r="B225" i="13"/>
  <c r="B8" i="13"/>
  <c r="I120" i="13"/>
  <c r="B51" i="13"/>
  <c r="F20" i="13"/>
  <c r="F198" i="13"/>
  <c r="G97" i="13"/>
  <c r="H20" i="13"/>
  <c r="B35" i="13"/>
  <c r="B173" i="13"/>
  <c r="B81" i="13"/>
  <c r="B116" i="13"/>
  <c r="E253" i="13"/>
  <c r="G206" i="13"/>
  <c r="L206" i="13" s="1"/>
  <c r="E45" i="13"/>
  <c r="F280" i="13"/>
  <c r="E226" i="13"/>
  <c r="B61" i="13"/>
  <c r="H96" i="13"/>
  <c r="E260" i="13"/>
  <c r="H199" i="13"/>
  <c r="H159" i="13"/>
  <c r="B153" i="13"/>
  <c r="E76" i="13"/>
  <c r="E216" i="13"/>
  <c r="E179" i="13"/>
  <c r="F263" i="13"/>
  <c r="E202" i="13"/>
  <c r="H261" i="13"/>
  <c r="B133" i="13"/>
  <c r="I106" i="13"/>
  <c r="I74" i="13"/>
  <c r="F208" i="13"/>
  <c r="B99" i="13"/>
  <c r="E242" i="13"/>
  <c r="E55" i="13"/>
  <c r="F144" i="13"/>
  <c r="E37" i="13"/>
  <c r="G253" i="13"/>
  <c r="L253" i="13" s="1"/>
  <c r="B204" i="13"/>
  <c r="B273" i="13"/>
  <c r="G72" i="13"/>
  <c r="L72" i="13" s="1"/>
  <c r="H231" i="13"/>
  <c r="F106" i="13"/>
  <c r="G199" i="13"/>
  <c r="G147" i="13"/>
  <c r="I141" i="13"/>
  <c r="G146" i="13"/>
  <c r="L146" i="13" s="1"/>
  <c r="G168" i="13"/>
  <c r="L168" i="13" s="1"/>
  <c r="G254" i="13"/>
  <c r="F282" i="13"/>
  <c r="I44" i="13"/>
  <c r="E39" i="13"/>
  <c r="E83" i="13"/>
  <c r="B156" i="13"/>
  <c r="G290" i="13"/>
  <c r="L290" i="13" s="1"/>
  <c r="G283" i="13"/>
  <c r="L283" i="13" s="1"/>
  <c r="I31" i="13"/>
  <c r="G91" i="13"/>
  <c r="G181" i="13"/>
  <c r="B119" i="13"/>
  <c r="E204" i="13"/>
  <c r="E257" i="13"/>
  <c r="B69" i="13"/>
  <c r="E243" i="13"/>
  <c r="E213" i="13"/>
  <c r="I199" i="13"/>
  <c r="G98" i="13"/>
  <c r="L98" i="13" s="1"/>
  <c r="F277" i="13"/>
  <c r="B17" i="13"/>
  <c r="B181" i="13"/>
  <c r="H212" i="13"/>
  <c r="F178" i="13"/>
  <c r="I67" i="13"/>
  <c r="B191" i="13"/>
  <c r="E244" i="13"/>
  <c r="H104" i="13"/>
  <c r="E201" i="13"/>
  <c r="H284" i="13"/>
  <c r="H29" i="13"/>
  <c r="F206" i="13"/>
  <c r="E88" i="13"/>
  <c r="E5" i="13"/>
  <c r="H161" i="13"/>
  <c r="B284" i="13"/>
  <c r="G273" i="13"/>
  <c r="B247" i="13"/>
  <c r="E13" i="13"/>
  <c r="H66" i="13"/>
  <c r="F275" i="13"/>
  <c r="I108" i="13"/>
  <c r="B111" i="13"/>
  <c r="G17" i="13"/>
  <c r="L17" i="13" s="1"/>
  <c r="H169" i="13"/>
  <c r="I135" i="13"/>
  <c r="H16" i="13"/>
  <c r="F166" i="13"/>
  <c r="H68" i="13"/>
  <c r="B198" i="13"/>
  <c r="G250" i="13"/>
  <c r="L250" i="13" s="1"/>
  <c r="E210" i="13"/>
  <c r="K210" i="13" s="1"/>
  <c r="M210" i="13" s="1"/>
  <c r="E291" i="13"/>
  <c r="H154" i="13"/>
  <c r="F48" i="13"/>
  <c r="B167" i="13"/>
  <c r="F210" i="13"/>
  <c r="F250" i="13"/>
  <c r="G52" i="13"/>
  <c r="L52" i="13" s="1"/>
  <c r="B85" i="13"/>
  <c r="G82" i="13"/>
  <c r="L82" i="13" s="1"/>
  <c r="E172" i="13"/>
  <c r="F218" i="13"/>
  <c r="E6" i="13"/>
  <c r="B37" i="13"/>
  <c r="B9" i="13"/>
  <c r="G209" i="13"/>
  <c r="B184" i="13"/>
  <c r="B187" i="13"/>
  <c r="H236" i="13"/>
  <c r="F92" i="13"/>
  <c r="G140" i="13"/>
  <c r="L140" i="13" s="1"/>
  <c r="H12" i="13"/>
  <c r="H91" i="13"/>
  <c r="E230" i="13"/>
  <c r="G179" i="13"/>
  <c r="F237" i="13"/>
  <c r="F240" i="13"/>
  <c r="I186" i="13"/>
  <c r="I220" i="13"/>
  <c r="E154" i="13"/>
  <c r="F128" i="13"/>
  <c r="G215" i="13"/>
  <c r="H54" i="13"/>
  <c r="B146" i="13"/>
  <c r="I169" i="13"/>
  <c r="B86" i="13"/>
  <c r="H128" i="13"/>
  <c r="H40" i="13"/>
  <c r="F133" i="13"/>
  <c r="H220" i="13"/>
  <c r="B142" i="13"/>
  <c r="I159" i="13"/>
  <c r="H252" i="13"/>
  <c r="G136" i="13"/>
  <c r="L136" i="13" s="1"/>
  <c r="F139" i="13"/>
  <c r="B92" i="13"/>
  <c r="H168" i="13"/>
  <c r="F251" i="13"/>
  <c r="I193" i="13"/>
  <c r="B10" i="13"/>
  <c r="H151" i="13"/>
  <c r="F256" i="13"/>
  <c r="B6" i="13"/>
  <c r="H263" i="13"/>
  <c r="E27" i="13"/>
  <c r="B219" i="13"/>
  <c r="B290" i="13"/>
  <c r="H241" i="13"/>
  <c r="B23" i="13"/>
  <c r="H49" i="13"/>
  <c r="E136" i="13"/>
  <c r="B228" i="13"/>
  <c r="I221" i="13"/>
  <c r="I105" i="13"/>
  <c r="H275" i="13"/>
  <c r="F86" i="13"/>
  <c r="F21" i="13"/>
  <c r="E67" i="13"/>
  <c r="G110" i="13"/>
  <c r="L110" i="13" s="1"/>
  <c r="G45" i="13"/>
  <c r="I254" i="13"/>
  <c r="I185" i="13"/>
  <c r="E214" i="13"/>
  <c r="E207" i="13"/>
  <c r="I54" i="13"/>
  <c r="E190" i="13"/>
  <c r="E129" i="13"/>
  <c r="K129" i="13" s="1"/>
  <c r="M129" i="13" s="1"/>
  <c r="F88" i="13"/>
  <c r="E272" i="13"/>
  <c r="G247" i="13"/>
  <c r="L247" i="13" s="1"/>
  <c r="E34" i="13"/>
  <c r="B222" i="13"/>
  <c r="F64" i="13"/>
  <c r="B194" i="13"/>
  <c r="F107" i="13"/>
  <c r="B91" i="13"/>
  <c r="G133" i="13"/>
  <c r="H114" i="13"/>
  <c r="B264" i="13"/>
  <c r="E261" i="13"/>
  <c r="I226" i="13"/>
  <c r="I181" i="13"/>
  <c r="B207" i="13"/>
  <c r="E48" i="13"/>
  <c r="F203" i="13"/>
  <c r="F72" i="13"/>
  <c r="H59" i="13"/>
  <c r="H42" i="13"/>
  <c r="I88" i="13"/>
  <c r="F160" i="13"/>
  <c r="G245" i="13"/>
  <c r="B182" i="13"/>
  <c r="E123" i="13"/>
  <c r="E237" i="13"/>
  <c r="I107" i="13"/>
  <c r="F34" i="13"/>
  <c r="H205" i="13"/>
  <c r="E124" i="13"/>
  <c r="B118" i="13"/>
  <c r="F118" i="13"/>
  <c r="E9" i="13"/>
  <c r="E100" i="13"/>
  <c r="I16" i="13"/>
  <c r="G216" i="13"/>
  <c r="H119" i="13"/>
  <c r="G144" i="13"/>
  <c r="L144" i="13" s="1"/>
  <c r="B136" i="13"/>
  <c r="I216" i="13"/>
  <c r="I102" i="13"/>
  <c r="F235" i="13"/>
  <c r="F69" i="13"/>
  <c r="E33" i="13"/>
  <c r="H246" i="13"/>
  <c r="I211" i="13"/>
  <c r="B44" i="13"/>
  <c r="F164" i="13"/>
  <c r="H251" i="13"/>
  <c r="G8" i="13"/>
  <c r="F77" i="13"/>
  <c r="I14" i="13"/>
  <c r="F101" i="13"/>
  <c r="F163" i="13"/>
  <c r="F7" i="13"/>
  <c r="H265" i="13"/>
  <c r="I231" i="13"/>
  <c r="H278" i="13"/>
  <c r="H259" i="13"/>
  <c r="H138" i="13"/>
  <c r="H176" i="13"/>
  <c r="H186" i="13"/>
  <c r="I219" i="13"/>
  <c r="F179" i="13"/>
  <c r="B217" i="13"/>
  <c r="B65" i="13"/>
  <c r="E51" i="13"/>
  <c r="E110" i="13"/>
  <c r="B74" i="13"/>
  <c r="E42" i="13"/>
  <c r="F204" i="13"/>
  <c r="E238" i="13"/>
  <c r="H9" i="13"/>
  <c r="E159" i="13"/>
  <c r="G285" i="13"/>
  <c r="B68" i="13"/>
  <c r="F108" i="13"/>
  <c r="G87" i="13"/>
  <c r="H238" i="13"/>
  <c r="F38" i="13"/>
  <c r="G171" i="13"/>
  <c r="B50" i="13"/>
  <c r="G29" i="13"/>
  <c r="L29" i="13" s="1"/>
  <c r="F54" i="13"/>
  <c r="F74" i="13"/>
  <c r="E70" i="13"/>
  <c r="G44" i="13"/>
  <c r="L44" i="13" s="1"/>
  <c r="H30" i="13"/>
  <c r="E23" i="13"/>
  <c r="H222" i="13"/>
  <c r="B224" i="13"/>
  <c r="G27" i="13"/>
  <c r="L27" i="13" s="1"/>
  <c r="H17" i="13"/>
  <c r="E160" i="13"/>
  <c r="E93" i="13"/>
  <c r="E134" i="13"/>
  <c r="B227" i="13"/>
  <c r="H213" i="13"/>
  <c r="F142" i="13"/>
  <c r="I195" i="13"/>
  <c r="B231" i="13"/>
  <c r="G138" i="13"/>
  <c r="L138" i="13" s="1"/>
  <c r="F157" i="13"/>
  <c r="B157" i="13"/>
  <c r="E24" i="13"/>
  <c r="G130" i="13"/>
  <c r="L130" i="13" s="1"/>
  <c r="G132" i="13"/>
  <c r="L132" i="13" s="1"/>
  <c r="E267" i="13"/>
  <c r="I133" i="13"/>
  <c r="E176" i="13"/>
  <c r="H21" i="13"/>
  <c r="H155" i="13"/>
  <c r="B241" i="13"/>
  <c r="E20" i="13"/>
  <c r="F154" i="13"/>
  <c r="F29" i="13"/>
  <c r="F80" i="13"/>
  <c r="G166" i="13"/>
  <c r="L166" i="13" s="1"/>
  <c r="G62" i="13"/>
  <c r="L62" i="13" s="1"/>
  <c r="B291" i="13"/>
  <c r="E46" i="13"/>
  <c r="H10" i="13"/>
  <c r="H74" i="13"/>
  <c r="F18" i="13"/>
  <c r="F111" i="13"/>
  <c r="E146" i="13"/>
  <c r="K146" i="13" s="1"/>
  <c r="M146" i="13" s="1"/>
  <c r="G117" i="13"/>
  <c r="E186" i="13"/>
  <c r="H235" i="13"/>
  <c r="I207" i="13"/>
  <c r="F94" i="13"/>
  <c r="I206" i="13"/>
  <c r="H130" i="13"/>
  <c r="E196" i="13"/>
  <c r="E273" i="13"/>
  <c r="G252" i="13"/>
  <c r="E109" i="13"/>
  <c r="B32" i="13"/>
  <c r="H283" i="13"/>
  <c r="G149" i="13"/>
  <c r="F109" i="13"/>
  <c r="H81" i="13"/>
  <c r="G164" i="13"/>
  <c r="L164" i="13" s="1"/>
  <c r="I174" i="13"/>
  <c r="G235" i="13"/>
  <c r="L235" i="13" s="1"/>
  <c r="B274" i="13"/>
  <c r="B163" i="13"/>
  <c r="H33" i="13"/>
  <c r="E133" i="13"/>
  <c r="B132" i="13"/>
  <c r="E180" i="13"/>
  <c r="H178" i="13"/>
  <c r="I86" i="13"/>
  <c r="B7" i="13"/>
  <c r="F195" i="13"/>
  <c r="H260" i="13"/>
  <c r="I217" i="13"/>
  <c r="F260" i="13"/>
  <c r="H232" i="13"/>
  <c r="G78" i="13"/>
  <c r="L78" i="13" s="1"/>
  <c r="H158" i="13"/>
  <c r="F268" i="13"/>
  <c r="G60" i="13"/>
  <c r="L60" i="13" s="1"/>
  <c r="B269" i="13"/>
  <c r="E116" i="13"/>
  <c r="H273" i="13"/>
  <c r="G39" i="13"/>
  <c r="I77" i="13"/>
  <c r="F187" i="13"/>
  <c r="I121" i="13"/>
  <c r="F186" i="13"/>
  <c r="I167" i="13"/>
  <c r="H27" i="13"/>
  <c r="G13" i="13"/>
  <c r="L13" i="13" s="1"/>
  <c r="B112" i="13"/>
  <c r="F15" i="13"/>
  <c r="H35" i="13"/>
  <c r="F39" i="13"/>
  <c r="H181" i="13"/>
  <c r="I277" i="13"/>
  <c r="E10" i="13"/>
  <c r="G264" i="13"/>
  <c r="L264" i="13" s="1"/>
  <c r="G257" i="13"/>
  <c r="H208" i="13"/>
  <c r="G131" i="13"/>
  <c r="F52" i="13"/>
  <c r="I17" i="13"/>
  <c r="H174" i="13"/>
  <c r="E181" i="13"/>
  <c r="F135" i="13"/>
  <c r="I59" i="13"/>
  <c r="E191" i="13"/>
  <c r="B59" i="13"/>
  <c r="G178" i="13"/>
  <c r="L178" i="13" s="1"/>
  <c r="G219" i="13"/>
  <c r="H219" i="13"/>
  <c r="G248" i="13"/>
  <c r="F132" i="13"/>
  <c r="G94" i="13"/>
  <c r="L94" i="13" s="1"/>
  <c r="F36" i="13"/>
  <c r="B165" i="13"/>
  <c r="I257" i="13"/>
  <c r="I53" i="13"/>
  <c r="G23" i="13"/>
  <c r="L23" i="13" s="1"/>
  <c r="B58" i="13"/>
  <c r="I111" i="13"/>
  <c r="G99" i="13"/>
  <c r="G151" i="13"/>
  <c r="G286" i="13"/>
  <c r="L286" i="13" s="1"/>
  <c r="H216" i="13"/>
  <c r="I291" i="13"/>
  <c r="H226" i="13"/>
  <c r="H105" i="13"/>
  <c r="I76" i="13"/>
  <c r="F217" i="13"/>
  <c r="H145" i="13"/>
  <c r="G287" i="13"/>
  <c r="I173" i="13"/>
  <c r="E231" i="13"/>
  <c r="G156" i="13"/>
  <c r="L156" i="13" s="1"/>
  <c r="I78" i="13"/>
  <c r="G197" i="13"/>
  <c r="B256" i="13"/>
  <c r="E73" i="13"/>
  <c r="F258" i="13"/>
  <c r="F61" i="13"/>
  <c r="B101" i="13"/>
  <c r="B143" i="13"/>
  <c r="B254" i="13"/>
  <c r="I222" i="13"/>
  <c r="F262" i="13"/>
  <c r="H44" i="13"/>
  <c r="G208" i="13"/>
  <c r="L208" i="13" s="1"/>
  <c r="E12" i="13"/>
  <c r="G173" i="13"/>
  <c r="H214" i="13"/>
  <c r="E168" i="13"/>
  <c r="H170" i="13"/>
  <c r="B252" i="13"/>
  <c r="F201" i="13"/>
  <c r="H132" i="13"/>
  <c r="E122" i="13"/>
  <c r="E247" i="13"/>
  <c r="I268" i="13"/>
  <c r="E77" i="13"/>
  <c r="E200" i="13"/>
  <c r="F171" i="13"/>
  <c r="B80" i="13"/>
  <c r="E103" i="13"/>
  <c r="E209" i="13"/>
  <c r="F117" i="13"/>
  <c r="H11" i="13"/>
  <c r="B75" i="13"/>
  <c r="G236" i="13"/>
  <c r="H101" i="13"/>
  <c r="E139" i="13"/>
  <c r="G159" i="13"/>
  <c r="L159" i="13" s="1"/>
  <c r="I175" i="13"/>
  <c r="G186" i="13"/>
  <c r="L186" i="13" s="1"/>
  <c r="H240" i="13"/>
  <c r="H211" i="13"/>
  <c r="G282" i="13"/>
  <c r="L282" i="13" s="1"/>
  <c r="B29" i="13"/>
  <c r="F176" i="13"/>
  <c r="G203" i="13"/>
  <c r="H218" i="13"/>
  <c r="F116" i="13"/>
  <c r="F120" i="13"/>
  <c r="E18" i="13"/>
  <c r="B25" i="13"/>
  <c r="B121" i="13"/>
  <c r="H37" i="13"/>
  <c r="G68" i="13"/>
  <c r="L68" i="13" s="1"/>
  <c r="F130" i="13"/>
  <c r="E252" i="13"/>
  <c r="F190" i="13"/>
  <c r="E82" i="13"/>
  <c r="G51" i="13"/>
  <c r="H267" i="13"/>
  <c r="I188" i="13"/>
  <c r="B279" i="13"/>
  <c r="G191" i="13"/>
  <c r="L191" i="13" s="1"/>
  <c r="F100" i="13"/>
  <c r="F145" i="13"/>
  <c r="B34" i="13"/>
  <c r="E185" i="13"/>
  <c r="H250" i="13"/>
  <c r="F238" i="13"/>
  <c r="G281" i="13"/>
  <c r="B94" i="13"/>
  <c r="H89" i="13"/>
  <c r="B127" i="13"/>
  <c r="G260" i="13"/>
  <c r="L260" i="13" s="1"/>
  <c r="H28" i="13"/>
  <c r="I253" i="13"/>
  <c r="F119" i="13"/>
  <c r="H23" i="13"/>
  <c r="F232" i="13"/>
  <c r="H80" i="13"/>
  <c r="G210" i="13"/>
  <c r="L210" i="13" s="1"/>
  <c r="F63" i="13"/>
  <c r="B278" i="13"/>
  <c r="B261" i="13"/>
  <c r="F289" i="13"/>
  <c r="E197" i="13"/>
  <c r="G12" i="13"/>
  <c r="G233" i="13"/>
  <c r="B138" i="13"/>
  <c r="I33" i="13"/>
  <c r="H175" i="13"/>
  <c r="F239" i="13"/>
  <c r="E52" i="13"/>
  <c r="I6" i="13"/>
  <c r="E38" i="13"/>
  <c r="B205" i="13"/>
  <c r="F245" i="13"/>
  <c r="E263" i="13"/>
  <c r="F244" i="13"/>
  <c r="E141" i="13"/>
  <c r="F253" i="13"/>
  <c r="I251" i="13"/>
  <c r="I35" i="13"/>
  <c r="F137" i="13"/>
  <c r="H126" i="13"/>
  <c r="G167" i="13"/>
  <c r="B169" i="13"/>
  <c r="H277" i="13"/>
  <c r="I148" i="13"/>
  <c r="G258" i="13"/>
  <c r="L258" i="13" s="1"/>
  <c r="I263" i="13"/>
  <c r="G75" i="13"/>
  <c r="I151" i="13"/>
  <c r="I155" i="13"/>
  <c r="H70" i="13"/>
  <c r="F172" i="13"/>
  <c r="H77" i="13"/>
  <c r="E286" i="13"/>
  <c r="F169" i="13"/>
  <c r="F6" i="13"/>
  <c r="G218" i="13"/>
  <c r="G121" i="13"/>
  <c r="F261" i="13"/>
  <c r="H60" i="13"/>
  <c r="B155" i="13"/>
  <c r="E114" i="13"/>
  <c r="B216" i="13"/>
  <c r="I180" i="13"/>
  <c r="I252" i="13"/>
  <c r="B126" i="13"/>
  <c r="G16" i="13"/>
  <c r="L16" i="13" s="1"/>
  <c r="I202" i="13"/>
  <c r="H195" i="13"/>
  <c r="F8" i="13"/>
  <c r="F125" i="13"/>
  <c r="I123" i="13"/>
  <c r="I63" i="13"/>
  <c r="I192" i="13"/>
  <c r="B103" i="13"/>
  <c r="F205" i="13"/>
  <c r="E138" i="13"/>
  <c r="F192" i="13"/>
  <c r="I49" i="13"/>
  <c r="G284" i="13"/>
  <c r="L284" i="13" s="1"/>
  <c r="H143" i="13"/>
  <c r="B141" i="13"/>
  <c r="G100" i="13"/>
  <c r="L100" i="13" s="1"/>
  <c r="B24" i="13"/>
  <c r="E215" i="13"/>
  <c r="I248" i="13"/>
  <c r="E147" i="13"/>
  <c r="G241" i="13"/>
  <c r="L241" i="13" s="1"/>
  <c r="B243" i="13"/>
  <c r="I132" i="13"/>
  <c r="G125" i="13"/>
  <c r="G213" i="13"/>
  <c r="E177" i="13"/>
  <c r="B177" i="13"/>
  <c r="B52" i="13"/>
  <c r="H8" i="13"/>
  <c r="B158" i="13"/>
  <c r="H118" i="13"/>
  <c r="G93" i="13"/>
  <c r="E15" i="13"/>
  <c r="K15" i="13" s="1"/>
  <c r="M15" i="13" s="1"/>
  <c r="G161" i="13"/>
  <c r="G43" i="13"/>
  <c r="B42" i="13"/>
  <c r="B39" i="13"/>
  <c r="E118" i="13"/>
  <c r="B286" i="13"/>
  <c r="G30" i="13"/>
  <c r="L30" i="13" s="1"/>
  <c r="F211" i="13"/>
  <c r="E232" i="13"/>
  <c r="B22" i="13"/>
  <c r="H120" i="13"/>
  <c r="G190" i="13"/>
  <c r="L190" i="13" s="1"/>
  <c r="I20" i="13"/>
  <c r="H83" i="13"/>
  <c r="G200" i="13"/>
  <c r="L200" i="13" s="1"/>
  <c r="G107" i="13"/>
  <c r="B161" i="13"/>
  <c r="B84" i="13"/>
  <c r="G222" i="13"/>
  <c r="L222" i="13" s="1"/>
  <c r="E119" i="13"/>
  <c r="I184" i="13"/>
  <c r="H52" i="13"/>
  <c r="F78" i="13"/>
  <c r="E56" i="13"/>
  <c r="K56" i="13" s="1"/>
  <c r="M56" i="13" s="1"/>
  <c r="B152" i="13"/>
  <c r="E105" i="13"/>
  <c r="B250" i="13"/>
  <c r="I142" i="13"/>
  <c r="I138" i="13"/>
  <c r="F212" i="13"/>
  <c r="F185" i="13"/>
  <c r="B195" i="13"/>
  <c r="G66" i="13"/>
  <c r="L66" i="13" s="1"/>
  <c r="F225" i="13"/>
  <c r="F47" i="13"/>
  <c r="E101" i="13"/>
  <c r="F44" i="13"/>
  <c r="H32" i="13"/>
  <c r="G194" i="13"/>
  <c r="L194" i="13" s="1"/>
  <c r="H61" i="13"/>
  <c r="H179" i="13"/>
  <c r="I126" i="13"/>
  <c r="B102" i="13"/>
  <c r="B237" i="13"/>
  <c r="G263" i="13"/>
  <c r="L263" i="13" s="1"/>
  <c r="F112" i="13"/>
  <c r="B236" i="13"/>
  <c r="I124" i="13"/>
  <c r="G118" i="13"/>
  <c r="L118" i="13" s="1"/>
  <c r="F129" i="13"/>
  <c r="G21" i="13"/>
  <c r="L21" i="13" s="1"/>
  <c r="B49" i="13"/>
  <c r="E58" i="13"/>
  <c r="B62" i="13"/>
  <c r="I85" i="13"/>
  <c r="E84" i="13"/>
  <c r="E150" i="13"/>
  <c r="I134" i="13"/>
  <c r="E269" i="13"/>
  <c r="I56" i="13"/>
  <c r="I213" i="13"/>
  <c r="I287" i="13"/>
  <c r="B215" i="13"/>
  <c r="F177" i="13"/>
  <c r="E95" i="13"/>
  <c r="H239" i="13"/>
  <c r="B20" i="13"/>
  <c r="B48" i="13"/>
  <c r="F49" i="13"/>
  <c r="I13" i="13"/>
  <c r="I274" i="13"/>
  <c r="I156" i="13"/>
  <c r="F243" i="13"/>
  <c r="E26" i="13"/>
  <c r="E239" i="13"/>
  <c r="H127" i="13"/>
  <c r="B199" i="13"/>
  <c r="I139" i="13"/>
  <c r="E104" i="13"/>
  <c r="F255" i="13"/>
  <c r="G10" i="13"/>
  <c r="L10" i="13" s="1"/>
  <c r="H281" i="13"/>
  <c r="I235" i="13"/>
  <c r="E17" i="13"/>
  <c r="I281" i="13"/>
  <c r="E224" i="13"/>
  <c r="E44" i="13"/>
  <c r="B285" i="13"/>
  <c r="I27" i="13"/>
  <c r="G59" i="13"/>
  <c r="B73" i="13"/>
  <c r="H121" i="13"/>
  <c r="I22" i="13"/>
  <c r="G5" i="13"/>
  <c r="G176" i="13"/>
  <c r="L176" i="13" s="1"/>
  <c r="G57" i="13"/>
  <c r="E199" i="13"/>
  <c r="H75" i="13"/>
  <c r="B137" i="13"/>
  <c r="G71" i="13"/>
  <c r="B244" i="13"/>
  <c r="B148" i="13"/>
  <c r="G169" i="13"/>
  <c r="L169" i="13" s="1"/>
  <c r="G195" i="13"/>
  <c r="I160" i="13"/>
  <c r="I46" i="13"/>
  <c r="H18" i="13"/>
  <c r="G165" i="13"/>
  <c r="L165" i="13" s="1"/>
  <c r="F162" i="13"/>
  <c r="G188" i="13"/>
  <c r="L188" i="13" s="1"/>
  <c r="I36" i="13"/>
  <c r="B154" i="13"/>
  <c r="G73" i="13"/>
  <c r="B281" i="13"/>
  <c r="I8" i="13"/>
  <c r="F228" i="13"/>
  <c r="B27" i="13"/>
  <c r="B178" i="13"/>
  <c r="I162" i="13"/>
  <c r="G278" i="13"/>
  <c r="L278" i="13" s="1"/>
  <c r="F131" i="13"/>
  <c r="I178" i="13"/>
  <c r="B120" i="13"/>
  <c r="F279" i="13"/>
  <c r="F224" i="13"/>
  <c r="F58" i="13"/>
  <c r="F126" i="13"/>
  <c r="I264" i="13"/>
  <c r="H135" i="13"/>
  <c r="E268" i="13"/>
  <c r="G40" i="13"/>
  <c r="L40" i="13" s="1"/>
  <c r="E47" i="13"/>
  <c r="K47" i="13" s="1"/>
  <c r="M47" i="13" s="1"/>
  <c r="G251" i="13"/>
  <c r="G24" i="13"/>
  <c r="F284" i="13"/>
  <c r="B180" i="13"/>
  <c r="G234" i="13"/>
  <c r="F55" i="13"/>
  <c r="I266" i="13"/>
  <c r="H287" i="13"/>
  <c r="B46" i="13"/>
  <c r="I42" i="13"/>
  <c r="H247" i="13"/>
  <c r="I127" i="13"/>
  <c r="G223" i="13"/>
  <c r="L223" i="13" s="1"/>
  <c r="H108" i="13"/>
  <c r="G88" i="13"/>
  <c r="L88" i="13" s="1"/>
  <c r="G175" i="13"/>
  <c r="E149" i="13"/>
  <c r="B66" i="13"/>
  <c r="B190" i="13"/>
  <c r="E108" i="13"/>
  <c r="G137" i="13"/>
  <c r="G139" i="13"/>
  <c r="G80" i="13"/>
  <c r="L80" i="13" s="1"/>
  <c r="B287" i="13"/>
  <c r="G109" i="13"/>
  <c r="I68" i="13"/>
  <c r="E248" i="13"/>
  <c r="F183" i="13"/>
  <c r="B185" i="13"/>
  <c r="G244" i="13"/>
  <c r="L244" i="13" s="1"/>
  <c r="E279" i="13"/>
  <c r="I225" i="13"/>
  <c r="I260" i="13"/>
  <c r="E113" i="13"/>
  <c r="G89" i="13"/>
  <c r="G274" i="13"/>
  <c r="L274" i="13" s="1"/>
  <c r="F153" i="13"/>
  <c r="I144" i="13"/>
  <c r="B11" i="13"/>
  <c r="F75" i="13"/>
  <c r="G155" i="13"/>
  <c r="L155" i="13" s="1"/>
  <c r="H31" i="13"/>
  <c r="G34" i="13"/>
  <c r="L34" i="13" s="1"/>
  <c r="B123" i="13"/>
  <c r="I99" i="13"/>
  <c r="G265" i="13"/>
  <c r="L265" i="13" s="1"/>
  <c r="B30" i="13"/>
  <c r="E90" i="13"/>
  <c r="B117" i="13"/>
  <c r="H7" i="13"/>
  <c r="F56" i="13"/>
  <c r="E121" i="13"/>
  <c r="G255" i="13"/>
  <c r="B268" i="13"/>
  <c r="H279" i="13"/>
  <c r="H137" i="13"/>
  <c r="F138" i="13"/>
  <c r="H112" i="13"/>
  <c r="E92" i="13"/>
  <c r="K92" i="13" s="1"/>
  <c r="M92" i="13" s="1"/>
  <c r="B193" i="13"/>
  <c r="F50" i="13"/>
  <c r="F19" i="13"/>
  <c r="E85" i="13"/>
  <c r="G196" i="13"/>
  <c r="L196" i="13" s="1"/>
  <c r="H256" i="13"/>
  <c r="G7" i="13"/>
  <c r="L7" i="13" s="1"/>
  <c r="H102" i="13"/>
  <c r="G249" i="13"/>
  <c r="H166" i="13"/>
  <c r="B189" i="13"/>
  <c r="B95" i="13"/>
  <c r="G183" i="13"/>
  <c r="E183" i="13"/>
  <c r="I115" i="13"/>
  <c r="E64" i="13"/>
  <c r="B88" i="13"/>
  <c r="I204" i="13"/>
  <c r="E112" i="13"/>
  <c r="F182" i="13"/>
  <c r="H189" i="13"/>
  <c r="I208" i="13"/>
  <c r="B151" i="13"/>
  <c r="F266" i="13"/>
  <c r="H234" i="13"/>
  <c r="F66" i="13"/>
  <c r="H87" i="13"/>
  <c r="F102" i="13"/>
  <c r="I26" i="13"/>
  <c r="E249" i="13"/>
  <c r="G162" i="13"/>
  <c r="L162" i="13" s="1"/>
  <c r="E270" i="13"/>
  <c r="G270" i="13"/>
  <c r="L270" i="13" s="1"/>
  <c r="E135" i="13"/>
  <c r="I71" i="13"/>
  <c r="F73" i="13"/>
  <c r="H146" i="13"/>
  <c r="B183" i="13"/>
  <c r="G185" i="13"/>
  <c r="H153" i="13"/>
  <c r="F35" i="13"/>
  <c r="H290" i="13"/>
  <c r="F10" i="13"/>
  <c r="E178" i="13"/>
  <c r="G279" i="13"/>
  <c r="B218" i="13"/>
  <c r="F122" i="13"/>
  <c r="B221" i="13"/>
  <c r="E7" i="13"/>
  <c r="K7" i="13" s="1"/>
  <c r="M7" i="13" s="1"/>
  <c r="I116" i="13"/>
  <c r="F83" i="13"/>
  <c r="G113" i="13"/>
  <c r="H99" i="13"/>
  <c r="G214" i="13"/>
  <c r="L214" i="13" s="1"/>
  <c r="H34" i="13"/>
  <c r="F95" i="13"/>
  <c r="G86" i="13"/>
  <c r="L86" i="13" s="1"/>
  <c r="F288" i="13"/>
  <c r="E235" i="13"/>
  <c r="I64" i="13"/>
  <c r="F158" i="13"/>
  <c r="B38" i="13"/>
  <c r="H193" i="13"/>
  <c r="B28" i="13"/>
  <c r="F215" i="13"/>
  <c r="E223" i="13"/>
  <c r="I128" i="13"/>
  <c r="I29" i="13"/>
  <c r="G76" i="13"/>
  <c r="L76" i="13" s="1"/>
  <c r="B140" i="13"/>
  <c r="E49" i="13"/>
  <c r="K49" i="13" s="1"/>
  <c r="M49" i="13" s="1"/>
  <c r="G103" i="13"/>
  <c r="E157" i="13"/>
  <c r="K157" i="13" s="1"/>
  <c r="M157" i="13" s="1"/>
  <c r="G143" i="13"/>
  <c r="G163" i="13"/>
  <c r="F180" i="13"/>
  <c r="F123" i="13"/>
  <c r="E241" i="13"/>
  <c r="G83" i="13"/>
  <c r="F87" i="13"/>
  <c r="F104" i="13"/>
  <c r="G70" i="13"/>
  <c r="L70" i="13" s="1"/>
  <c r="H144" i="13"/>
  <c r="G96" i="13"/>
  <c r="L96" i="13" s="1"/>
  <c r="E19" i="13"/>
  <c r="K19" i="13" s="1"/>
  <c r="M19" i="13" s="1"/>
  <c r="F291" i="13"/>
  <c r="E170" i="13"/>
  <c r="E143" i="13"/>
  <c r="I79" i="13"/>
  <c r="H210" i="13"/>
  <c r="E228" i="13"/>
  <c r="B209" i="13"/>
  <c r="I89" i="13"/>
  <c r="E212" i="13"/>
  <c r="I161" i="13"/>
  <c r="E274" i="13"/>
  <c r="E145" i="13"/>
  <c r="K145" i="13" s="1"/>
  <c r="M145" i="13" s="1"/>
  <c r="G204" i="13"/>
  <c r="L204" i="13" s="1"/>
  <c r="E217" i="13"/>
  <c r="F37" i="13"/>
  <c r="B179" i="13"/>
  <c r="E99" i="13"/>
  <c r="H276" i="13"/>
  <c r="G67" i="13"/>
  <c r="L67" i="13" s="1"/>
  <c r="B246" i="13"/>
  <c r="E14" i="13"/>
  <c r="F194" i="13"/>
  <c r="F222" i="13"/>
  <c r="E192" i="13"/>
  <c r="K192" i="13" s="1"/>
  <c r="M192" i="13" s="1"/>
  <c r="G225" i="13"/>
  <c r="I229" i="13"/>
  <c r="F151" i="13"/>
  <c r="E97" i="13"/>
  <c r="H92" i="13"/>
  <c r="F5" i="13"/>
  <c r="H253" i="13"/>
  <c r="H41" i="13"/>
  <c r="I278" i="13"/>
  <c r="F265" i="13"/>
  <c r="I172" i="13"/>
  <c r="G92" i="13"/>
  <c r="L92" i="13" s="1"/>
  <c r="I228" i="13"/>
  <c r="I37" i="13"/>
  <c r="E266" i="13"/>
  <c r="F33" i="13"/>
  <c r="I256" i="13"/>
  <c r="F114" i="13"/>
  <c r="I110" i="13"/>
  <c r="I5" i="13"/>
  <c r="E264" i="13"/>
  <c r="B282" i="13"/>
  <c r="B206" i="13"/>
  <c r="G212" i="13"/>
  <c r="L212" i="13" s="1"/>
  <c r="I261" i="13"/>
  <c r="B18" i="13"/>
  <c r="I243" i="13"/>
  <c r="H217" i="13"/>
  <c r="F28" i="13"/>
  <c r="B232" i="13"/>
  <c r="I39" i="13"/>
  <c r="I40" i="13"/>
  <c r="G141" i="13"/>
  <c r="H264" i="13"/>
  <c r="E246" i="13"/>
  <c r="H14" i="13"/>
  <c r="E158" i="13"/>
  <c r="H84" i="13"/>
  <c r="F65" i="13"/>
  <c r="F115" i="13"/>
  <c r="H134" i="13"/>
  <c r="B98" i="13"/>
  <c r="B212" i="13"/>
  <c r="B289" i="13"/>
  <c r="G237" i="13"/>
  <c r="I165" i="13"/>
  <c r="B55" i="13"/>
  <c r="H72" i="13"/>
  <c r="G74" i="13"/>
  <c r="L74" i="13" s="1"/>
  <c r="H229" i="13"/>
  <c r="E30" i="13"/>
  <c r="F290" i="13"/>
  <c r="H165" i="13"/>
  <c r="I191" i="13"/>
  <c r="H198" i="13"/>
  <c r="E144" i="13"/>
  <c r="H188" i="13"/>
  <c r="H227" i="13"/>
  <c r="E80" i="13"/>
  <c r="K80" i="13" s="1"/>
  <c r="M80" i="13" s="1"/>
  <c r="H76" i="13"/>
  <c r="B72" i="13"/>
  <c r="B70" i="13"/>
  <c r="I230" i="13"/>
  <c r="I249" i="13"/>
  <c r="I284" i="13"/>
  <c r="E275" i="13"/>
  <c r="I131" i="13"/>
  <c r="F287" i="13"/>
  <c r="F147" i="13"/>
  <c r="B135" i="13"/>
  <c r="B147" i="13"/>
  <c r="G228" i="13"/>
  <c r="F82" i="13"/>
  <c r="E229" i="13"/>
  <c r="E137" i="13"/>
  <c r="H136" i="13"/>
  <c r="H98" i="13"/>
  <c r="E140" i="13"/>
  <c r="H291" i="13"/>
  <c r="N26" i="7" s="1"/>
  <c r="O15" i="15" s="1"/>
  <c r="E203" i="13"/>
  <c r="I170" i="13"/>
  <c r="I288" i="13"/>
  <c r="F167" i="13"/>
  <c r="I286" i="13"/>
  <c r="I72" i="13"/>
  <c r="E54" i="13"/>
  <c r="K54" i="13" s="1"/>
  <c r="M54" i="13" s="1"/>
  <c r="G112" i="13"/>
  <c r="L112" i="13" s="1"/>
  <c r="H122" i="13"/>
  <c r="B251" i="13"/>
  <c r="I137" i="13"/>
  <c r="B257" i="13"/>
  <c r="I282" i="13"/>
  <c r="I60" i="13"/>
  <c r="H185" i="13"/>
  <c r="E245" i="13"/>
  <c r="K245" i="13" s="1"/>
  <c r="M245" i="13" s="1"/>
  <c r="B262" i="13"/>
  <c r="H25" i="13"/>
  <c r="H113" i="13"/>
  <c r="F285" i="13"/>
  <c r="G227" i="13"/>
  <c r="B16" i="13"/>
  <c r="I50" i="13"/>
  <c r="H221" i="13"/>
  <c r="B220" i="13"/>
  <c r="F191" i="13"/>
  <c r="I265" i="13"/>
  <c r="I10" i="13"/>
  <c r="G271" i="13"/>
  <c r="B162" i="13"/>
  <c r="I114" i="13"/>
  <c r="E277" i="13"/>
  <c r="G20" i="13"/>
  <c r="F42" i="13"/>
  <c r="I91" i="13"/>
  <c r="E164" i="13"/>
  <c r="K164" i="13" s="1"/>
  <c r="M164" i="13" s="1"/>
  <c r="F170" i="13"/>
  <c r="B255" i="13"/>
  <c r="G79" i="13"/>
  <c r="G180" i="13"/>
  <c r="L180" i="13" s="1"/>
  <c r="I92" i="13"/>
  <c r="H237" i="13"/>
  <c r="H288" i="13"/>
  <c r="G14" i="13"/>
  <c r="G160" i="13"/>
  <c r="L160" i="13" s="1"/>
  <c r="B109" i="13"/>
  <c r="H172" i="13"/>
  <c r="E81" i="13"/>
  <c r="G154" i="13"/>
  <c r="L154" i="13" s="1"/>
  <c r="F216" i="13"/>
  <c r="E98" i="13"/>
  <c r="F274" i="13"/>
  <c r="H286" i="13"/>
  <c r="G259" i="13"/>
  <c r="H152" i="13"/>
  <c r="B242" i="13"/>
  <c r="E289" i="13"/>
  <c r="H243" i="13"/>
  <c r="F62" i="13"/>
  <c r="G239" i="13"/>
  <c r="L239" i="13" s="1"/>
  <c r="G226" i="13"/>
  <c r="L226" i="13" s="1"/>
  <c r="B33" i="13"/>
  <c r="H209" i="13"/>
  <c r="H274" i="13"/>
  <c r="H268" i="13"/>
  <c r="I166" i="13"/>
  <c r="G193" i="13"/>
  <c r="L193" i="13" s="1"/>
  <c r="I150" i="13"/>
  <c r="G288" i="13"/>
  <c r="L288" i="13" s="1"/>
  <c r="E220" i="13"/>
  <c r="E66" i="13"/>
  <c r="F89" i="13"/>
  <c r="H257" i="13"/>
  <c r="I32" i="13"/>
  <c r="E132" i="13"/>
  <c r="F85" i="13"/>
  <c r="B63" i="13"/>
  <c r="E117" i="13"/>
  <c r="F281" i="13"/>
  <c r="G35" i="13"/>
  <c r="B214" i="13"/>
  <c r="E41" i="13"/>
  <c r="H191" i="13"/>
  <c r="H73" i="13"/>
  <c r="E68" i="13"/>
  <c r="I283" i="13"/>
  <c r="E32" i="13"/>
  <c r="F247" i="13"/>
  <c r="I273" i="13"/>
  <c r="F264" i="13"/>
  <c r="F13" i="13"/>
  <c r="G232" i="13"/>
  <c r="L232" i="13" s="1"/>
  <c r="F134" i="13"/>
  <c r="B260" i="13"/>
  <c r="G28" i="13"/>
  <c r="B31" i="13"/>
  <c r="E75" i="13"/>
  <c r="I113" i="13"/>
  <c r="G32" i="13"/>
  <c r="L32" i="13" s="1"/>
  <c r="I149" i="13"/>
  <c r="H94" i="13"/>
  <c r="H147" i="13"/>
  <c r="H90" i="13"/>
  <c r="B203" i="13"/>
  <c r="F93" i="13"/>
  <c r="H262" i="13"/>
  <c r="E156" i="13"/>
  <c r="G41" i="13"/>
  <c r="F207" i="13"/>
  <c r="F53" i="13"/>
  <c r="F148" i="13"/>
  <c r="G84" i="13"/>
  <c r="L84" i="13" s="1"/>
  <c r="I95" i="13"/>
  <c r="G22" i="13"/>
  <c r="I21" i="13"/>
  <c r="B249" i="13"/>
  <c r="G172" i="13"/>
  <c r="L172" i="13" s="1"/>
  <c r="G120" i="13"/>
  <c r="L120" i="13" s="1"/>
  <c r="I205" i="13"/>
  <c r="B248" i="13"/>
  <c r="I19" i="13"/>
  <c r="H88" i="13"/>
  <c r="G37" i="13"/>
  <c r="L37" i="13" s="1"/>
  <c r="H270" i="13"/>
  <c r="H173" i="13"/>
  <c r="G157" i="13"/>
  <c r="E63" i="13"/>
  <c r="K63" i="13" s="1"/>
  <c r="M63" i="13" s="1"/>
  <c r="E265" i="13"/>
  <c r="H79" i="13"/>
  <c r="E16" i="13"/>
  <c r="B164" i="13"/>
  <c r="B79" i="13"/>
  <c r="E221" i="13"/>
  <c r="H69" i="13"/>
  <c r="H204" i="13"/>
  <c r="E171" i="13"/>
  <c r="K171" i="13" s="1"/>
  <c r="M171" i="13" s="1"/>
  <c r="H15" i="13"/>
  <c r="I24" i="13"/>
  <c r="B12" i="13"/>
  <c r="F259" i="13"/>
  <c r="I80" i="13"/>
  <c r="I267" i="13"/>
  <c r="E255" i="13"/>
  <c r="E151" i="13"/>
  <c r="I48" i="13"/>
  <c r="H157" i="13"/>
  <c r="I84" i="13"/>
  <c r="B41" i="13"/>
  <c r="B57" i="13"/>
  <c r="H45" i="13"/>
  <c r="E166" i="13"/>
  <c r="F67" i="13"/>
  <c r="E8" i="13"/>
  <c r="F99" i="13"/>
  <c r="I96" i="13"/>
  <c r="I198" i="13"/>
  <c r="E194" i="13"/>
  <c r="F81" i="13"/>
  <c r="F84" i="13"/>
  <c r="I58" i="13"/>
  <c r="I289" i="13"/>
  <c r="G95" i="13"/>
  <c r="G116" i="13"/>
  <c r="L116" i="13" s="1"/>
  <c r="G19" i="13"/>
  <c r="L19" i="13" s="1"/>
  <c r="H148" i="13"/>
  <c r="I157" i="13"/>
  <c r="I237" i="13"/>
  <c r="F71" i="13"/>
  <c r="E59" i="13"/>
  <c r="B139" i="13"/>
  <c r="H124" i="13"/>
  <c r="G77" i="13"/>
  <c r="L77" i="13" s="1"/>
  <c r="G54" i="13"/>
  <c r="L54" i="13" s="1"/>
  <c r="B104" i="13"/>
  <c r="G53" i="13"/>
  <c r="G31" i="13"/>
  <c r="H228" i="13"/>
  <c r="F60" i="13"/>
  <c r="I23" i="13"/>
  <c r="B105" i="13"/>
  <c r="E258" i="13"/>
  <c r="H248" i="13"/>
  <c r="I214" i="13"/>
  <c r="F230" i="13"/>
  <c r="H201" i="13"/>
  <c r="I11" i="13"/>
  <c r="H117" i="13"/>
  <c r="E91" i="13"/>
  <c r="I187" i="13"/>
  <c r="F31" i="13"/>
  <c r="H133" i="13"/>
  <c r="H51" i="13"/>
  <c r="E153" i="13"/>
  <c r="K153" i="13" s="1"/>
  <c r="M153" i="13" s="1"/>
  <c r="B134" i="13"/>
  <c r="I101" i="13"/>
  <c r="F136" i="13"/>
  <c r="E284" i="13"/>
  <c r="K284" i="13" s="1"/>
  <c r="M284" i="13" s="1"/>
  <c r="B110" i="13"/>
  <c r="I103" i="13"/>
  <c r="E62" i="13"/>
  <c r="H19" i="13"/>
  <c r="I90" i="13"/>
  <c r="F17" i="13"/>
  <c r="H39" i="13"/>
  <c r="B159" i="13"/>
  <c r="H6" i="13"/>
  <c r="H141" i="13"/>
  <c r="E74" i="13"/>
  <c r="K74" i="13" s="1"/>
  <c r="M74" i="13" s="1"/>
  <c r="B226" i="13"/>
  <c r="H48" i="13"/>
  <c r="G229" i="13"/>
  <c r="L229" i="13" s="1"/>
  <c r="I258" i="13"/>
  <c r="E189" i="13"/>
  <c r="H192" i="13"/>
  <c r="H64" i="13"/>
  <c r="H249" i="13"/>
  <c r="H224" i="13"/>
  <c r="E60" i="13"/>
  <c r="G238" i="13"/>
  <c r="L238" i="13" s="1"/>
  <c r="E254" i="13"/>
  <c r="E174" i="13"/>
  <c r="K174" i="13" s="1"/>
  <c r="M174" i="13" s="1"/>
  <c r="G6" i="13"/>
  <c r="E125" i="13"/>
  <c r="G42" i="13"/>
  <c r="L42" i="13" s="1"/>
  <c r="F43" i="13"/>
  <c r="E234" i="13"/>
  <c r="B170" i="13"/>
  <c r="B93" i="13"/>
  <c r="I183" i="13"/>
  <c r="E167" i="13"/>
  <c r="F272" i="13"/>
  <c r="I196" i="13"/>
  <c r="H85" i="13"/>
  <c r="H5" i="13"/>
  <c r="H13" i="13"/>
  <c r="B5" i="13"/>
  <c r="E31" i="13"/>
  <c r="B78" i="13"/>
  <c r="G15" i="13"/>
  <c r="L15" i="13" s="1"/>
  <c r="H86" i="13"/>
  <c r="G205" i="13"/>
  <c r="I93" i="13"/>
  <c r="G33" i="13"/>
  <c r="G153" i="13"/>
  <c r="L153" i="13" s="1"/>
  <c r="B171" i="13"/>
  <c r="I250" i="13"/>
  <c r="I55" i="13"/>
  <c r="G38" i="13"/>
  <c r="L38" i="13" s="1"/>
  <c r="G276" i="13"/>
  <c r="L276" i="13" s="1"/>
  <c r="H140" i="13"/>
  <c r="F45" i="13"/>
  <c r="B14" i="13"/>
  <c r="F189" i="13"/>
  <c r="F96" i="13"/>
  <c r="I109" i="13"/>
  <c r="E120" i="13"/>
  <c r="K120" i="13" s="1"/>
  <c r="M120" i="13" s="1"/>
  <c r="H164" i="13"/>
  <c r="H26" i="13"/>
  <c r="G177" i="13"/>
  <c r="F213" i="13"/>
  <c r="B259" i="13"/>
  <c r="E43" i="13"/>
  <c r="B176" i="13"/>
  <c r="H271" i="13"/>
  <c r="F155" i="13"/>
  <c r="G142" i="13"/>
  <c r="L142" i="13" s="1"/>
  <c r="I194" i="13"/>
  <c r="G134" i="13"/>
  <c r="L134" i="13" s="1"/>
  <c r="I197" i="13"/>
  <c r="E281" i="13"/>
  <c r="E86" i="13"/>
  <c r="K86" i="13" s="1"/>
  <c r="M86" i="13" s="1"/>
  <c r="H36" i="13"/>
  <c r="I232" i="13"/>
  <c r="E94" i="13"/>
  <c r="I153" i="13"/>
  <c r="H109" i="13"/>
  <c r="H125" i="13"/>
  <c r="H58" i="13"/>
  <c r="E69" i="13"/>
  <c r="I233" i="13"/>
  <c r="I209" i="13"/>
  <c r="I69" i="13"/>
  <c r="I215" i="13"/>
  <c r="I158" i="13"/>
  <c r="G266" i="13"/>
  <c r="L266" i="13" s="1"/>
  <c r="E283" i="13"/>
  <c r="F70" i="13"/>
  <c r="G224" i="13"/>
  <c r="I146" i="13"/>
  <c r="F124" i="13"/>
  <c r="I94" i="13"/>
  <c r="F246" i="13"/>
  <c r="I30" i="13"/>
  <c r="F271" i="13"/>
  <c r="G36" i="13"/>
  <c r="L36" i="13" s="1"/>
  <c r="I7" i="13"/>
  <c r="F278" i="13"/>
  <c r="E162" i="13"/>
  <c r="K162" i="13" s="1"/>
  <c r="M162" i="13" s="1"/>
  <c r="F24" i="13"/>
  <c r="H225" i="13"/>
  <c r="I176" i="13"/>
  <c r="H197" i="13"/>
  <c r="E72" i="13"/>
  <c r="G184" i="13"/>
  <c r="L184" i="13" s="1"/>
  <c r="B71" i="13"/>
  <c r="G122" i="13"/>
  <c r="L122" i="13" s="1"/>
  <c r="B267" i="13"/>
  <c r="B200" i="13"/>
  <c r="F90" i="13"/>
  <c r="H167" i="13"/>
  <c r="I70" i="13"/>
  <c r="F197" i="13"/>
  <c r="F236" i="13"/>
  <c r="E142" i="13"/>
  <c r="I143" i="13"/>
  <c r="E282" i="13"/>
  <c r="E280" i="13"/>
  <c r="H184" i="13"/>
  <c r="E102" i="13"/>
  <c r="G55" i="13"/>
  <c r="E155" i="13"/>
  <c r="E222" i="13"/>
  <c r="B67" i="13"/>
  <c r="G243" i="13"/>
  <c r="L243" i="13" s="1"/>
  <c r="I122" i="13"/>
  <c r="B210" i="13"/>
  <c r="B40" i="13"/>
  <c r="B47" i="13"/>
  <c r="I177" i="13"/>
  <c r="H65" i="13"/>
  <c r="B277" i="13"/>
  <c r="H46" i="13"/>
  <c r="H206" i="13"/>
  <c r="F242" i="13"/>
  <c r="H266" i="13"/>
  <c r="F140" i="13"/>
  <c r="H156" i="13"/>
  <c r="H100" i="13"/>
  <c r="H194" i="13"/>
  <c r="F254" i="13"/>
  <c r="F110" i="13"/>
  <c r="I290" i="13"/>
  <c r="B13" i="13"/>
  <c r="H149" i="13"/>
  <c r="I104" i="13"/>
  <c r="F46" i="13"/>
  <c r="F175" i="13"/>
  <c r="G152" i="13"/>
  <c r="L152" i="13" s="1"/>
  <c r="H106" i="13"/>
  <c r="E50" i="13"/>
  <c r="K50" i="13" s="1"/>
  <c r="M50" i="13" s="1"/>
  <c r="B233" i="13"/>
  <c r="I276" i="13"/>
  <c r="F103" i="13"/>
  <c r="H50" i="13"/>
  <c r="B166" i="13"/>
  <c r="F91" i="13"/>
  <c r="E126" i="13"/>
  <c r="E233" i="13"/>
  <c r="H230" i="13"/>
  <c r="E107" i="13"/>
  <c r="E21" i="13"/>
  <c r="K21" i="13" s="1"/>
  <c r="M21" i="13" s="1"/>
  <c r="E182" i="13"/>
  <c r="H93" i="13"/>
  <c r="B263" i="13"/>
  <c r="B150" i="13"/>
  <c r="F150" i="13"/>
  <c r="I147" i="13"/>
  <c r="B196" i="13"/>
  <c r="B168" i="13"/>
  <c r="G192" i="13"/>
  <c r="L192" i="13" s="1"/>
  <c r="H183" i="13"/>
  <c r="I272" i="13"/>
  <c r="G101" i="13"/>
  <c r="H163" i="13"/>
  <c r="H24" i="13"/>
  <c r="E36" i="13"/>
  <c r="K36" i="13" s="1"/>
  <c r="M36" i="13" s="1"/>
  <c r="B197" i="13"/>
  <c r="E40" i="13"/>
  <c r="H162" i="13"/>
  <c r="I97" i="13"/>
  <c r="I45" i="13"/>
  <c r="I83" i="13"/>
  <c r="I61" i="13"/>
  <c r="I240" i="13"/>
  <c r="I15" i="13"/>
  <c r="B235" i="13"/>
  <c r="B131" i="13"/>
  <c r="G230" i="13"/>
  <c r="I41" i="13"/>
  <c r="I9" i="13"/>
  <c r="G25" i="13"/>
  <c r="L25" i="13" s="1"/>
  <c r="B275" i="13"/>
  <c r="I119" i="13"/>
  <c r="I136" i="13"/>
  <c r="B213" i="13"/>
  <c r="E278" i="13"/>
  <c r="G187" i="13"/>
  <c r="F32" i="13"/>
  <c r="I129" i="13"/>
  <c r="B76" i="13"/>
  <c r="G126" i="13"/>
  <c r="L126" i="13" s="1"/>
  <c r="H142" i="13"/>
  <c r="F257" i="13"/>
  <c r="B82" i="13"/>
  <c r="H78" i="13"/>
  <c r="F199" i="13"/>
  <c r="B211" i="13"/>
  <c r="H129" i="13"/>
  <c r="I238" i="13"/>
  <c r="G217" i="13"/>
  <c r="L217" i="13" s="1"/>
  <c r="I244" i="13"/>
  <c r="G61" i="13"/>
  <c r="E161" i="13"/>
  <c r="K161" i="13" s="1"/>
  <c r="M161" i="13" s="1"/>
  <c r="I259" i="13"/>
  <c r="E87" i="13"/>
  <c r="F173" i="13"/>
  <c r="F234" i="13"/>
  <c r="G56" i="13"/>
  <c r="L56" i="13" s="1"/>
  <c r="G81" i="13"/>
  <c r="H111" i="13"/>
  <c r="F249" i="13"/>
  <c r="E262" i="13"/>
  <c r="I38" i="13"/>
  <c r="H190" i="13"/>
  <c r="G90" i="13"/>
  <c r="L90" i="13" s="1"/>
  <c r="H55" i="13"/>
  <c r="H244" i="13"/>
  <c r="E57" i="13"/>
  <c r="F97" i="13"/>
  <c r="F174" i="13"/>
  <c r="B272" i="13"/>
  <c r="H207" i="13"/>
  <c r="G119" i="13"/>
  <c r="L119" i="13" s="1"/>
  <c r="E205" i="13"/>
  <c r="F184" i="13"/>
  <c r="I163" i="13"/>
  <c r="I118" i="13"/>
  <c r="B60" i="13"/>
  <c r="B160" i="13"/>
  <c r="E218" i="13"/>
  <c r="H215" i="13"/>
  <c r="G26" i="13"/>
  <c r="L26" i="13" s="1"/>
  <c r="H203" i="13"/>
  <c r="I212" i="13"/>
  <c r="I154" i="13"/>
  <c r="E187" i="13"/>
  <c r="K187" i="13" s="1"/>
  <c r="M187" i="13" s="1"/>
  <c r="B53" i="13"/>
  <c r="E188" i="13"/>
  <c r="K188" i="13" s="1"/>
  <c r="M188" i="13" s="1"/>
  <c r="F200" i="13"/>
  <c r="F161" i="13"/>
  <c r="B271" i="13"/>
  <c r="E71" i="13"/>
  <c r="G246" i="13"/>
  <c r="F229" i="13"/>
  <c r="F9" i="13"/>
  <c r="E198" i="13"/>
  <c r="H280" i="13"/>
  <c r="I34" i="13"/>
  <c r="F193" i="13"/>
  <c r="G69" i="13"/>
  <c r="L69" i="13" s="1"/>
  <c r="F41" i="13"/>
  <c r="B175" i="13"/>
  <c r="E115" i="13"/>
  <c r="I100" i="13"/>
  <c r="E184" i="13"/>
  <c r="G63" i="13"/>
  <c r="B129" i="13"/>
  <c r="I117" i="13"/>
  <c r="B64" i="13"/>
  <c r="I280" i="13"/>
  <c r="F188" i="13"/>
  <c r="I246" i="13"/>
  <c r="G18" i="13"/>
  <c r="L18" i="13" s="1"/>
  <c r="I18" i="13"/>
  <c r="F79" i="13"/>
  <c r="B186" i="13"/>
  <c r="G182" i="13"/>
  <c r="L182" i="13" s="1"/>
  <c r="I81" i="13"/>
  <c r="I262" i="13"/>
  <c r="B125" i="13"/>
  <c r="I227" i="13"/>
  <c r="F202" i="13"/>
  <c r="I82" i="13"/>
  <c r="B192" i="13"/>
  <c r="G102" i="13"/>
  <c r="L102" i="13" s="1"/>
  <c r="F26" i="13"/>
  <c r="F40" i="13"/>
  <c r="I203" i="13"/>
  <c r="H22" i="13"/>
  <c r="B96" i="13"/>
  <c r="F59" i="13"/>
  <c r="I236" i="13"/>
  <c r="G198" i="13"/>
  <c r="L198" i="13" s="1"/>
  <c r="I25" i="13"/>
  <c r="B87" i="13"/>
  <c r="E169" i="13"/>
  <c r="K169" i="13" s="1"/>
  <c r="M169" i="13" s="1"/>
  <c r="B280" i="13"/>
  <c r="B36" i="13"/>
  <c r="E96" i="13"/>
  <c r="F113" i="13"/>
  <c r="B83" i="13"/>
  <c r="I247" i="13"/>
  <c r="B128" i="13"/>
  <c r="F168" i="13"/>
  <c r="E61" i="13"/>
  <c r="I28" i="13"/>
  <c r="F22" i="13"/>
  <c r="F105" i="13"/>
  <c r="G240" i="13"/>
  <c r="L240" i="13" s="1"/>
  <c r="F156" i="13"/>
  <c r="E163" i="13"/>
  <c r="B238" i="13"/>
  <c r="G65" i="13"/>
  <c r="L65" i="13" s="1"/>
  <c r="E29" i="13"/>
  <c r="H53" i="13"/>
  <c r="B266" i="13"/>
  <c r="F241" i="13"/>
  <c r="G114" i="13"/>
  <c r="L114" i="13" s="1"/>
  <c r="E195" i="13"/>
  <c r="E290" i="13"/>
  <c r="G108" i="13"/>
  <c r="L108" i="13" s="1"/>
  <c r="G221" i="13"/>
  <c r="I52" i="13"/>
  <c r="E25" i="13"/>
  <c r="E28" i="13"/>
  <c r="G135" i="13"/>
  <c r="H150" i="13"/>
  <c r="F209" i="13"/>
  <c r="F226" i="13"/>
  <c r="I125" i="13"/>
  <c r="I75" i="13"/>
  <c r="I65" i="13"/>
  <c r="I242" i="13"/>
  <c r="I224" i="13"/>
  <c r="G148" i="13"/>
  <c r="L148" i="13" s="1"/>
  <c r="B258" i="13"/>
  <c r="F270" i="13"/>
  <c r="E106" i="13"/>
  <c r="B26" i="13"/>
  <c r="B43" i="13"/>
  <c r="H71" i="13"/>
  <c r="F127" i="13"/>
  <c r="E79" i="13"/>
  <c r="K79" i="13" s="1"/>
  <c r="M79" i="13" s="1"/>
  <c r="F12" i="13"/>
  <c r="B239" i="13"/>
  <c r="E35" i="13"/>
  <c r="G11" i="13"/>
  <c r="L11" i="13" s="1"/>
  <c r="I218" i="13"/>
  <c r="F51" i="13"/>
  <c r="E175" i="13"/>
  <c r="G174" i="13"/>
  <c r="L174" i="13" s="1"/>
  <c r="H233" i="13"/>
  <c r="G275" i="13"/>
  <c r="B288" i="13"/>
  <c r="H182" i="13"/>
  <c r="B240" i="13"/>
  <c r="H115" i="13"/>
  <c r="H285" i="13"/>
  <c r="I210" i="13"/>
  <c r="H116" i="13"/>
  <c r="E128" i="13"/>
  <c r="B145" i="13"/>
  <c r="B45" i="13"/>
  <c r="G261" i="13"/>
  <c r="E127" i="13"/>
  <c r="F121" i="13"/>
  <c r="E111" i="13"/>
  <c r="E173" i="13"/>
  <c r="K173" i="13" s="1"/>
  <c r="M173" i="13" s="1"/>
  <c r="E219" i="13"/>
  <c r="K219" i="13" s="1"/>
  <c r="M219" i="13" s="1"/>
  <c r="F68" i="13"/>
  <c r="E206" i="13"/>
  <c r="E148" i="13"/>
  <c r="H223" i="13"/>
  <c r="I62" i="13"/>
  <c r="G104" i="13"/>
  <c r="L104" i="13" s="1"/>
  <c r="I47" i="13"/>
  <c r="G124" i="13"/>
  <c r="L124" i="13" s="1"/>
  <c r="G202" i="13"/>
  <c r="L202" i="13" s="1"/>
  <c r="F76" i="13"/>
  <c r="F27" i="13"/>
  <c r="B19" i="13"/>
  <c r="E256" i="13"/>
  <c r="H245" i="13"/>
  <c r="G268" i="13"/>
  <c r="L268" i="13" s="1"/>
  <c r="I234" i="13"/>
  <c r="I285" i="13"/>
  <c r="I189" i="13"/>
  <c r="E250" i="13"/>
  <c r="K250" i="13" s="1"/>
  <c r="M250" i="13" s="1"/>
  <c r="H242" i="13"/>
  <c r="F11" i="13"/>
  <c r="I57" i="13"/>
  <c r="G189" i="13"/>
  <c r="L189" i="13" s="1"/>
  <c r="H180" i="13"/>
  <c r="I245" i="13"/>
  <c r="I51" i="13"/>
  <c r="E227" i="13"/>
  <c r="B202" i="13"/>
  <c r="E211" i="13"/>
  <c r="G289" i="13"/>
  <c r="I182" i="13"/>
  <c r="B253" i="13"/>
  <c r="G242" i="13"/>
  <c r="F30" i="13"/>
  <c r="F159" i="13"/>
  <c r="F286" i="13"/>
  <c r="B229" i="13"/>
  <c r="I190" i="13"/>
  <c r="H43" i="13"/>
  <c r="I270" i="13"/>
  <c r="B188" i="13"/>
  <c r="B113" i="13"/>
  <c r="G262" i="13"/>
  <c r="L262" i="13" s="1"/>
  <c r="H171" i="13"/>
  <c r="H110" i="13"/>
  <c r="G115" i="13"/>
  <c r="H177" i="13"/>
  <c r="H123" i="13"/>
  <c r="F252" i="13"/>
  <c r="F219" i="13"/>
  <c r="H200" i="13"/>
  <c r="F220" i="13"/>
  <c r="B201" i="13"/>
  <c r="F165" i="13"/>
  <c r="F14" i="13"/>
  <c r="G150" i="13"/>
  <c r="L150" i="13" s="1"/>
  <c r="I12" i="13"/>
  <c r="I241" i="13"/>
  <c r="B100" i="13"/>
  <c r="B21" i="13"/>
  <c r="B15" i="13"/>
  <c r="H131" i="13"/>
  <c r="H282" i="13"/>
  <c r="I279" i="13"/>
  <c r="F181" i="13"/>
  <c r="F146" i="13"/>
  <c r="I239" i="13"/>
  <c r="B270" i="13"/>
  <c r="F16" i="13"/>
  <c r="G201" i="13"/>
  <c r="G58" i="13"/>
  <c r="L58" i="13" s="1"/>
  <c r="I223" i="13"/>
  <c r="I130" i="13"/>
  <c r="G291" i="13"/>
  <c r="G280" i="13"/>
  <c r="L280" i="13" s="1"/>
  <c r="E287" i="13"/>
  <c r="B144" i="13"/>
  <c r="B174" i="13"/>
  <c r="I179" i="13"/>
  <c r="I87" i="13"/>
  <c r="F214" i="13"/>
  <c r="B245" i="13"/>
  <c r="F248" i="13"/>
  <c r="G129" i="13"/>
  <c r="H254" i="13"/>
  <c r="B234" i="13"/>
  <c r="E288" i="13"/>
  <c r="E130" i="13"/>
  <c r="F273" i="13"/>
  <c r="H196" i="13"/>
  <c r="B106" i="13"/>
  <c r="E22" i="13"/>
  <c r="I171" i="13"/>
  <c r="H63" i="13"/>
  <c r="G127" i="13"/>
  <c r="B149" i="13"/>
  <c r="H258" i="13"/>
  <c r="H289" i="13"/>
  <c r="B108" i="13"/>
  <c r="F283" i="13"/>
  <c r="E276" i="13"/>
  <c r="K276" i="13" s="1"/>
  <c r="M276" i="13" s="1"/>
  <c r="E251" i="13"/>
  <c r="B77" i="13"/>
  <c r="E271" i="13"/>
  <c r="K271" i="13" s="1"/>
  <c r="M271" i="13" s="1"/>
  <c r="B230" i="13"/>
  <c r="I168" i="13"/>
  <c r="E240" i="13"/>
  <c r="K240" i="13" s="1"/>
  <c r="M240" i="13" s="1"/>
  <c r="E89" i="13"/>
  <c r="E53" i="13"/>
  <c r="B107" i="13"/>
  <c r="F267" i="13"/>
  <c r="I269" i="13"/>
  <c r="G220" i="13"/>
  <c r="L220" i="13" s="1"/>
  <c r="H38" i="13"/>
  <c r="G9" i="13"/>
  <c r="L9" i="13" s="1"/>
  <c r="B283" i="13"/>
  <c r="F23" i="13"/>
  <c r="E225" i="13"/>
  <c r="K225" i="13" s="1"/>
  <c r="M225" i="13" s="1"/>
  <c r="G49" i="13"/>
  <c r="I275" i="13"/>
  <c r="B56" i="13"/>
  <c r="B54" i="13"/>
  <c r="F227" i="13"/>
  <c r="B122" i="13"/>
  <c r="G47" i="13"/>
  <c r="H139" i="13"/>
  <c r="F57" i="13"/>
  <c r="G128" i="13"/>
  <c r="L128" i="13" s="1"/>
  <c r="B97" i="13"/>
  <c r="G48" i="13"/>
  <c r="L48" i="13" s="1"/>
  <c r="H82" i="13"/>
  <c r="G170" i="13"/>
  <c r="L170" i="13" s="1"/>
  <c r="E236" i="13"/>
  <c r="G269" i="13"/>
  <c r="G46" i="13"/>
  <c r="L46" i="13" s="1"/>
  <c r="F269" i="13"/>
  <c r="B89" i="13"/>
  <c r="G267" i="13"/>
  <c r="B90" i="13"/>
  <c r="I43" i="13"/>
  <c r="F231" i="13"/>
  <c r="G256" i="13"/>
  <c r="L256" i="13" s="1"/>
  <c r="H187" i="13"/>
  <c r="E208" i="13"/>
  <c r="K208" i="13" s="1"/>
  <c r="M208" i="13" s="1"/>
  <c r="E285" i="13"/>
  <c r="G231" i="13"/>
  <c r="E131" i="13"/>
  <c r="K131" i="13" s="1"/>
  <c r="M131" i="13" s="1"/>
  <c r="I112" i="13"/>
  <c r="G106" i="13"/>
  <c r="L106" i="13" s="1"/>
  <c r="B265" i="13"/>
  <c r="G64" i="13"/>
  <c r="L64" i="13" s="1"/>
  <c r="E152" i="13"/>
  <c r="E11" i="13"/>
  <c r="K11" i="13" s="1"/>
  <c r="M11" i="13" s="1"/>
  <c r="B124" i="13"/>
  <c r="F25" i="13"/>
  <c r="B276" i="13"/>
  <c r="G105" i="13"/>
  <c r="B114" i="13"/>
  <c r="I255" i="13"/>
  <c r="F152" i="13"/>
  <c r="H95" i="13"/>
  <c r="G272" i="13"/>
  <c r="L272" i="13" s="1"/>
  <c r="B223" i="13"/>
  <c r="I271" i="13"/>
  <c r="B172" i="13"/>
  <c r="G207" i="13"/>
  <c r="B115" i="13"/>
  <c r="H57" i="13"/>
  <c r="G85" i="13"/>
  <c r="H160" i="13"/>
  <c r="E193" i="13"/>
  <c r="F143" i="13"/>
  <c r="I145" i="13"/>
  <c r="H47" i="13"/>
  <c r="G123" i="13"/>
  <c r="F149" i="13"/>
  <c r="G158" i="13"/>
  <c r="L158" i="13" s="1"/>
  <c r="F223" i="13"/>
  <c r="H56" i="13"/>
  <c r="I66" i="13"/>
  <c r="I152" i="13"/>
  <c r="E259" i="13"/>
  <c r="H269" i="13"/>
  <c r="I73" i="13"/>
  <c r="H107" i="13"/>
  <c r="H255" i="13"/>
  <c r="G111" i="13"/>
  <c r="L111" i="13" s="1"/>
  <c r="F141" i="13"/>
  <c r="G145" i="13"/>
  <c r="L145" i="13" s="1"/>
  <c r="H202" i="13"/>
  <c r="F196" i="13"/>
  <c r="I140" i="13"/>
  <c r="B208" i="13"/>
  <c r="F233" i="13"/>
  <c r="H97" i="13"/>
  <c r="I164" i="13"/>
  <c r="F98" i="13"/>
  <c r="E165" i="13"/>
  <c r="K165" i="13" s="1"/>
  <c r="M165" i="13" s="1"/>
  <c r="K128" i="13" l="1"/>
  <c r="M128" i="13" s="1"/>
  <c r="L103" i="13"/>
  <c r="L49" i="13"/>
  <c r="K282" i="13"/>
  <c r="M282" i="13" s="1"/>
  <c r="L33" i="13"/>
  <c r="L230" i="13"/>
  <c r="K111" i="13"/>
  <c r="M111" i="13" s="1"/>
  <c r="L237" i="13"/>
  <c r="K144" i="13"/>
  <c r="M144" i="13" s="1"/>
  <c r="L195" i="13"/>
  <c r="K44" i="13"/>
  <c r="M44" i="13" s="1"/>
  <c r="L213" i="13"/>
  <c r="L161" i="13"/>
  <c r="K60" i="13"/>
  <c r="M60" i="13" s="1"/>
  <c r="K69" i="13"/>
  <c r="M69" i="13" s="1"/>
  <c r="K32" i="13"/>
  <c r="M32" i="13" s="1"/>
  <c r="L242" i="13"/>
  <c r="K89" i="13"/>
  <c r="M89" i="13" s="1"/>
  <c r="L129" i="13"/>
  <c r="K280" i="13"/>
  <c r="M280" i="13" s="1"/>
  <c r="L271" i="13"/>
  <c r="L183" i="13"/>
  <c r="K17" i="13"/>
  <c r="M17" i="13" s="1"/>
  <c r="K101" i="13"/>
  <c r="M101" i="13" s="1"/>
  <c r="K252" i="13"/>
  <c r="M252" i="13" s="1"/>
  <c r="L39" i="13"/>
  <c r="L245" i="13"/>
  <c r="K78" i="13"/>
  <c r="M78" i="13" s="1"/>
  <c r="L93" i="13"/>
  <c r="K147" i="13"/>
  <c r="M147" i="13" s="1"/>
  <c r="K185" i="13"/>
  <c r="M185" i="13" s="1"/>
  <c r="K209" i="13"/>
  <c r="M209" i="13" s="1"/>
  <c r="K42" i="13"/>
  <c r="M42" i="13" s="1"/>
  <c r="K100" i="13"/>
  <c r="M100" i="13" s="1"/>
  <c r="K190" i="13"/>
  <c r="M190" i="13" s="1"/>
  <c r="K260" i="13"/>
  <c r="M260" i="13" s="1"/>
  <c r="K98" i="13"/>
  <c r="M98" i="13" s="1"/>
  <c r="K235" i="13"/>
  <c r="M235" i="13" s="1"/>
  <c r="L139" i="13"/>
  <c r="K268" i="13"/>
  <c r="M268" i="13" s="1"/>
  <c r="K114" i="13"/>
  <c r="M114" i="13" s="1"/>
  <c r="K181" i="13"/>
  <c r="M181" i="13" s="1"/>
  <c r="K24" i="13"/>
  <c r="M24" i="13" s="1"/>
  <c r="K9" i="13"/>
  <c r="M9" i="13" s="1"/>
  <c r="L133" i="13"/>
  <c r="K182" i="13"/>
  <c r="M182" i="13" s="1"/>
  <c r="K264" i="13"/>
  <c r="M264" i="13" s="1"/>
  <c r="K14" i="13"/>
  <c r="M14" i="13" s="1"/>
  <c r="K212" i="13"/>
  <c r="M212" i="13" s="1"/>
  <c r="K150" i="13"/>
  <c r="M150" i="13" s="1"/>
  <c r="K291" i="13"/>
  <c r="M291" i="13" s="1"/>
  <c r="K201" i="13"/>
  <c r="M201" i="13" s="1"/>
  <c r="L207" i="13"/>
  <c r="K72" i="13"/>
  <c r="M72" i="13" s="1"/>
  <c r="K132" i="13"/>
  <c r="M132" i="13" s="1"/>
  <c r="K68" i="13"/>
  <c r="M68" i="13" s="1"/>
  <c r="L205" i="13"/>
  <c r="K59" i="13"/>
  <c r="M59" i="13" s="1"/>
  <c r="K203" i="13"/>
  <c r="M203" i="13" s="1"/>
  <c r="L279" i="13"/>
  <c r="L249" i="13"/>
  <c r="K108" i="13"/>
  <c r="M108" i="13" s="1"/>
  <c r="L75" i="13"/>
  <c r="L233" i="13"/>
  <c r="L179" i="13"/>
  <c r="K263" i="13"/>
  <c r="M263" i="13" s="1"/>
  <c r="L47" i="13"/>
  <c r="K175" i="13"/>
  <c r="M175" i="13" s="1"/>
  <c r="K8" i="13"/>
  <c r="M8" i="13" s="1"/>
  <c r="K62" i="13"/>
  <c r="M62" i="13" s="1"/>
  <c r="L31" i="13"/>
  <c r="K64" i="13"/>
  <c r="M64" i="13" s="1"/>
  <c r="L91" i="13"/>
  <c r="L53" i="13"/>
  <c r="L209" i="13"/>
  <c r="K93" i="13"/>
  <c r="M93" i="13" s="1"/>
  <c r="L79" i="13"/>
  <c r="K113" i="13"/>
  <c r="M113" i="13" s="1"/>
  <c r="K168" i="13"/>
  <c r="M168" i="13" s="1"/>
  <c r="K116" i="13"/>
  <c r="M116" i="13" s="1"/>
  <c r="L171" i="13"/>
  <c r="L97" i="13"/>
  <c r="K90" i="13"/>
  <c r="M90" i="13" s="1"/>
  <c r="K290" i="13"/>
  <c r="M290" i="13" s="1"/>
  <c r="K269" i="13"/>
  <c r="M269" i="13" s="1"/>
  <c r="K142" i="13"/>
  <c r="M142" i="13" s="1"/>
  <c r="L137" i="13"/>
  <c r="K215" i="13"/>
  <c r="M215" i="13" s="1"/>
  <c r="L149" i="13"/>
  <c r="K186" i="13"/>
  <c r="M186" i="13" s="1"/>
  <c r="K33" i="13"/>
  <c r="M33" i="13" s="1"/>
  <c r="K207" i="13"/>
  <c r="M207" i="13" s="1"/>
  <c r="K213" i="13"/>
  <c r="M213" i="13" s="1"/>
  <c r="K83" i="13"/>
  <c r="M83" i="13" s="1"/>
  <c r="K243" i="13"/>
  <c r="M243" i="13" s="1"/>
  <c r="L277" i="13"/>
  <c r="K160" i="13"/>
  <c r="M160" i="13" s="1"/>
  <c r="K152" i="13"/>
  <c r="M152" i="13" s="1"/>
  <c r="L101" i="13"/>
  <c r="K75" i="13"/>
  <c r="M75" i="13" s="1"/>
  <c r="K180" i="13"/>
  <c r="M180" i="13" s="1"/>
  <c r="K51" i="13"/>
  <c r="M51" i="13" s="1"/>
  <c r="K6" i="13"/>
  <c r="M6" i="13" s="1"/>
  <c r="K278" i="13"/>
  <c r="M278" i="13" s="1"/>
  <c r="K178" i="13"/>
  <c r="M178" i="13" s="1"/>
  <c r="K279" i="13"/>
  <c r="M279" i="13" s="1"/>
  <c r="L87" i="13"/>
  <c r="L267" i="13"/>
  <c r="L83" i="13"/>
  <c r="K77" i="13"/>
  <c r="M77" i="13" s="1"/>
  <c r="L228" i="13"/>
  <c r="L199" i="13"/>
  <c r="L127" i="13"/>
  <c r="L61" i="13"/>
  <c r="L89" i="13"/>
  <c r="K262" i="13"/>
  <c r="M262" i="13" s="1"/>
  <c r="L117" i="13"/>
  <c r="K151" i="13"/>
  <c r="M151" i="13" s="1"/>
  <c r="K270" i="13"/>
  <c r="M270" i="13" s="1"/>
  <c r="K13" i="13"/>
  <c r="M13" i="13" s="1"/>
  <c r="K233" i="13"/>
  <c r="M233" i="13" s="1"/>
  <c r="K283" i="13"/>
  <c r="M283" i="13" s="1"/>
  <c r="K43" i="13"/>
  <c r="M43" i="13" s="1"/>
  <c r="K234" i="13"/>
  <c r="M234" i="13" s="1"/>
  <c r="K220" i="13"/>
  <c r="M220" i="13" s="1"/>
  <c r="L255" i="13"/>
  <c r="K95" i="13"/>
  <c r="M95" i="13" s="1"/>
  <c r="K58" i="13"/>
  <c r="M58" i="13" s="1"/>
  <c r="K177" i="13"/>
  <c r="M177" i="13" s="1"/>
  <c r="L218" i="13"/>
  <c r="K139" i="13"/>
  <c r="M139" i="13" s="1"/>
  <c r="L252" i="13"/>
  <c r="L45" i="13"/>
  <c r="L254" i="13"/>
  <c r="K37" i="13"/>
  <c r="M37" i="13" s="1"/>
  <c r="K65" i="13"/>
  <c r="M65" i="13" s="1"/>
  <c r="L236" i="13"/>
  <c r="K259" i="13"/>
  <c r="M259" i="13" s="1"/>
  <c r="L269" i="13"/>
  <c r="K115" i="13"/>
  <c r="M115" i="13" s="1"/>
  <c r="K102" i="13"/>
  <c r="M102" i="13" s="1"/>
  <c r="K166" i="13"/>
  <c r="M166" i="13" s="1"/>
  <c r="K285" i="13"/>
  <c r="M285" i="13" s="1"/>
  <c r="K35" i="13"/>
  <c r="M35" i="13" s="1"/>
  <c r="K281" i="13"/>
  <c r="M281" i="13" s="1"/>
  <c r="K183" i="13"/>
  <c r="M183" i="13" s="1"/>
  <c r="L251" i="13"/>
  <c r="C149" i="13"/>
  <c r="D149" i="13"/>
  <c r="C276" i="13"/>
  <c r="D276" i="13"/>
  <c r="D21" i="13"/>
  <c r="C21" i="13"/>
  <c r="D19" i="13"/>
  <c r="C19" i="13"/>
  <c r="C239" i="13"/>
  <c r="D239" i="13"/>
  <c r="C280" i="13"/>
  <c r="D280" i="13"/>
  <c r="C197" i="13"/>
  <c r="D197" i="13"/>
  <c r="D150" i="13"/>
  <c r="C150" i="13"/>
  <c r="C71" i="13"/>
  <c r="D71" i="13"/>
  <c r="D226" i="13"/>
  <c r="C226" i="13"/>
  <c r="C57" i="13"/>
  <c r="D57" i="13"/>
  <c r="D63" i="13"/>
  <c r="C63" i="13"/>
  <c r="C262" i="13"/>
  <c r="D262" i="13"/>
  <c r="D252" i="13"/>
  <c r="C252" i="13"/>
  <c r="D142" i="13"/>
  <c r="C142" i="13"/>
  <c r="D240" i="13"/>
  <c r="C240" i="13"/>
  <c r="C192" i="13"/>
  <c r="D192" i="13"/>
  <c r="C147" i="13"/>
  <c r="D147" i="13"/>
  <c r="C55" i="13"/>
  <c r="D55" i="13"/>
  <c r="D206" i="13"/>
  <c r="C206" i="13"/>
  <c r="K274" i="13"/>
  <c r="M274" i="13" s="1"/>
  <c r="C221" i="13"/>
  <c r="D221" i="13"/>
  <c r="C95" i="13"/>
  <c r="D95" i="13"/>
  <c r="D103" i="13"/>
  <c r="C103" i="13"/>
  <c r="D7" i="13"/>
  <c r="C7" i="13"/>
  <c r="C245" i="13"/>
  <c r="D245" i="13"/>
  <c r="L115" i="13"/>
  <c r="D87" i="13"/>
  <c r="C87" i="13"/>
  <c r="C53" i="13"/>
  <c r="D53" i="13"/>
  <c r="D131" i="13"/>
  <c r="C131" i="13"/>
  <c r="D282" i="13"/>
  <c r="C282" i="13"/>
  <c r="C189" i="13"/>
  <c r="D189" i="13"/>
  <c r="C178" i="13"/>
  <c r="D178" i="13"/>
  <c r="L5" i="13"/>
  <c r="G2" i="13"/>
  <c r="D34" i="13"/>
  <c r="C34" i="13"/>
  <c r="C9" i="13"/>
  <c r="D9" i="13"/>
  <c r="C97" i="13"/>
  <c r="D97" i="13"/>
  <c r="C210" i="13"/>
  <c r="D210" i="13"/>
  <c r="C139" i="13"/>
  <c r="D139" i="13"/>
  <c r="C140" i="13"/>
  <c r="D140" i="13"/>
  <c r="K232" i="13"/>
  <c r="M232" i="13" s="1"/>
  <c r="D80" i="13"/>
  <c r="C80" i="13"/>
  <c r="D228" i="13"/>
  <c r="C228" i="13"/>
  <c r="D10" i="13"/>
  <c r="C10" i="13"/>
  <c r="C37" i="13"/>
  <c r="D37" i="13"/>
  <c r="D270" i="13"/>
  <c r="C270" i="13"/>
  <c r="C253" i="13"/>
  <c r="D253" i="13"/>
  <c r="K127" i="13"/>
  <c r="M127" i="13" s="1"/>
  <c r="D64" i="13"/>
  <c r="C64" i="13"/>
  <c r="K258" i="13"/>
  <c r="M258" i="13" s="1"/>
  <c r="K194" i="13"/>
  <c r="M194" i="13" s="1"/>
  <c r="D123" i="13"/>
  <c r="C123" i="13"/>
  <c r="C48" i="13"/>
  <c r="D48" i="13"/>
  <c r="K119" i="13"/>
  <c r="M119" i="13" s="1"/>
  <c r="D118" i="13"/>
  <c r="C118" i="13"/>
  <c r="K226" i="13"/>
  <c r="M226" i="13" s="1"/>
  <c r="L123" i="13"/>
  <c r="D223" i="13"/>
  <c r="C223" i="13"/>
  <c r="C90" i="13"/>
  <c r="D90" i="13"/>
  <c r="C77" i="13"/>
  <c r="D77" i="13"/>
  <c r="D106" i="13"/>
  <c r="C106" i="13"/>
  <c r="L261" i="13"/>
  <c r="D43" i="13"/>
  <c r="C43" i="13"/>
  <c r="D266" i="13"/>
  <c r="C266" i="13"/>
  <c r="D125" i="13"/>
  <c r="C125" i="13"/>
  <c r="K198" i="13"/>
  <c r="M198" i="13" s="1"/>
  <c r="K107" i="13"/>
  <c r="M107" i="13" s="1"/>
  <c r="L224" i="13"/>
  <c r="C14" i="13"/>
  <c r="D14" i="13"/>
  <c r="C93" i="13"/>
  <c r="D93" i="13"/>
  <c r="C105" i="13"/>
  <c r="D105" i="13"/>
  <c r="C79" i="13"/>
  <c r="D79" i="13"/>
  <c r="D248" i="13"/>
  <c r="C248" i="13"/>
  <c r="L41" i="13"/>
  <c r="C31" i="13"/>
  <c r="D31" i="13"/>
  <c r="K81" i="13"/>
  <c r="M81" i="13" s="1"/>
  <c r="C257" i="13"/>
  <c r="D257" i="13"/>
  <c r="D212" i="13"/>
  <c r="C212" i="13"/>
  <c r="D209" i="13"/>
  <c r="C209" i="13"/>
  <c r="D190" i="13"/>
  <c r="C190" i="13"/>
  <c r="C73" i="13"/>
  <c r="D73" i="13"/>
  <c r="K104" i="13"/>
  <c r="M104" i="13" s="1"/>
  <c r="C20" i="13"/>
  <c r="D20" i="13"/>
  <c r="D102" i="13"/>
  <c r="C102" i="13"/>
  <c r="D52" i="13"/>
  <c r="C52" i="13"/>
  <c r="L12" i="13"/>
  <c r="D25" i="13"/>
  <c r="C25" i="13"/>
  <c r="K200" i="13"/>
  <c r="M200" i="13" s="1"/>
  <c r="K12" i="13"/>
  <c r="M12" i="13" s="1"/>
  <c r="L197" i="13"/>
  <c r="D132" i="13"/>
  <c r="C132" i="13"/>
  <c r="D32" i="13"/>
  <c r="C32" i="13"/>
  <c r="K20" i="13"/>
  <c r="M20" i="13" s="1"/>
  <c r="C65" i="13"/>
  <c r="D65" i="13"/>
  <c r="K124" i="13"/>
  <c r="M124" i="13" s="1"/>
  <c r="C194" i="13"/>
  <c r="D194" i="13"/>
  <c r="C86" i="13"/>
  <c r="D86" i="13"/>
  <c r="K230" i="13"/>
  <c r="M230" i="13" s="1"/>
  <c r="K244" i="13"/>
  <c r="M244" i="13" s="1"/>
  <c r="C69" i="13"/>
  <c r="D69" i="13"/>
  <c r="D204" i="13"/>
  <c r="C204" i="13"/>
  <c r="K202" i="13"/>
  <c r="M202" i="13" s="1"/>
  <c r="C51" i="13"/>
  <c r="D51" i="13"/>
  <c r="D265" i="13"/>
  <c r="C265" i="13"/>
  <c r="K251" i="13"/>
  <c r="M251" i="13" s="1"/>
  <c r="C174" i="13"/>
  <c r="D174" i="13"/>
  <c r="D113" i="13"/>
  <c r="C113" i="13"/>
  <c r="L289" i="13"/>
  <c r="C45" i="13"/>
  <c r="D45" i="13"/>
  <c r="C26" i="13"/>
  <c r="D26" i="13"/>
  <c r="C128" i="13"/>
  <c r="D128" i="13"/>
  <c r="D129" i="13"/>
  <c r="C129" i="13"/>
  <c r="D272" i="13"/>
  <c r="C272" i="13"/>
  <c r="L81" i="13"/>
  <c r="C211" i="13"/>
  <c r="D211" i="13"/>
  <c r="D213" i="13"/>
  <c r="C213" i="13"/>
  <c r="D67" i="13"/>
  <c r="C67" i="13"/>
  <c r="D176" i="13"/>
  <c r="C176" i="13"/>
  <c r="D170" i="13"/>
  <c r="C170" i="13"/>
  <c r="K255" i="13"/>
  <c r="M255" i="13" s="1"/>
  <c r="C164" i="13"/>
  <c r="D164" i="13"/>
  <c r="K156" i="13"/>
  <c r="M156" i="13" s="1"/>
  <c r="L28" i="13"/>
  <c r="K66" i="13"/>
  <c r="M66" i="13" s="1"/>
  <c r="K140" i="13"/>
  <c r="M140" i="13" s="1"/>
  <c r="K275" i="13"/>
  <c r="M275" i="13" s="1"/>
  <c r="C98" i="13"/>
  <c r="D98" i="13"/>
  <c r="D232" i="13"/>
  <c r="C232" i="13"/>
  <c r="K228" i="13"/>
  <c r="M228" i="13" s="1"/>
  <c r="K112" i="13"/>
  <c r="M112" i="13" s="1"/>
  <c r="C268" i="13"/>
  <c r="D268" i="13"/>
  <c r="D66" i="13"/>
  <c r="C66" i="13"/>
  <c r="C281" i="13"/>
  <c r="D281" i="13"/>
  <c r="C148" i="13"/>
  <c r="D148" i="13"/>
  <c r="L59" i="13"/>
  <c r="D62" i="13"/>
  <c r="C62" i="13"/>
  <c r="C84" i="13"/>
  <c r="D84" i="13"/>
  <c r="C286" i="13"/>
  <c r="D286" i="13"/>
  <c r="C177" i="13"/>
  <c r="D177" i="13"/>
  <c r="C141" i="13"/>
  <c r="D141" i="13"/>
  <c r="L121" i="13"/>
  <c r="K197" i="13"/>
  <c r="M197" i="13" s="1"/>
  <c r="D279" i="13"/>
  <c r="C279" i="13"/>
  <c r="K18" i="13"/>
  <c r="M18" i="13" s="1"/>
  <c r="L248" i="13"/>
  <c r="L131" i="13"/>
  <c r="K133" i="13"/>
  <c r="M133" i="13" s="1"/>
  <c r="K109" i="13"/>
  <c r="M109" i="13" s="1"/>
  <c r="D241" i="13"/>
  <c r="C241" i="13"/>
  <c r="C231" i="13"/>
  <c r="D231" i="13"/>
  <c r="K23" i="13"/>
  <c r="M23" i="13" s="1"/>
  <c r="C217" i="13"/>
  <c r="D217" i="13"/>
  <c r="D23" i="13"/>
  <c r="C23" i="13"/>
  <c r="K172" i="13"/>
  <c r="M172" i="13" s="1"/>
  <c r="D198" i="13"/>
  <c r="C198" i="13"/>
  <c r="D247" i="13"/>
  <c r="C247" i="13"/>
  <c r="C191" i="13"/>
  <c r="D191" i="13"/>
  <c r="K257" i="13"/>
  <c r="M257" i="13" s="1"/>
  <c r="K45" i="13"/>
  <c r="M45" i="13" s="1"/>
  <c r="C171" i="13"/>
  <c r="D171" i="13"/>
  <c r="C193" i="13"/>
  <c r="D193" i="13"/>
  <c r="C29" i="13"/>
  <c r="D29" i="13"/>
  <c r="D167" i="13"/>
  <c r="C167" i="13"/>
  <c r="D76" i="13"/>
  <c r="C76" i="13"/>
  <c r="D263" i="13"/>
  <c r="C263" i="13"/>
  <c r="C47" i="13"/>
  <c r="D47" i="13"/>
  <c r="K254" i="13"/>
  <c r="M254" i="13" s="1"/>
  <c r="K246" i="13"/>
  <c r="M246" i="13" s="1"/>
  <c r="C50" i="13"/>
  <c r="D50" i="13"/>
  <c r="D124" i="13"/>
  <c r="C124" i="13"/>
  <c r="C151" i="13"/>
  <c r="D151" i="13"/>
  <c r="D172" i="13"/>
  <c r="C172" i="13"/>
  <c r="C230" i="13"/>
  <c r="D230" i="13"/>
  <c r="C134" i="13"/>
  <c r="D134" i="13"/>
  <c r="C157" i="13"/>
  <c r="D157" i="13"/>
  <c r="K61" i="13"/>
  <c r="M61" i="13" s="1"/>
  <c r="D121" i="13"/>
  <c r="C121" i="13"/>
  <c r="C273" i="13"/>
  <c r="D273" i="13"/>
  <c r="D144" i="13"/>
  <c r="C144" i="13"/>
  <c r="K211" i="13"/>
  <c r="M211" i="13" s="1"/>
  <c r="K106" i="13"/>
  <c r="M106" i="13" s="1"/>
  <c r="K222" i="13"/>
  <c r="M222" i="13" s="1"/>
  <c r="D78" i="13"/>
  <c r="C78" i="13"/>
  <c r="K118" i="13"/>
  <c r="M118" i="13" s="1"/>
  <c r="K48" i="13"/>
  <c r="M48" i="13" s="1"/>
  <c r="C122" i="13"/>
  <c r="D122" i="13"/>
  <c r="K130" i="13"/>
  <c r="M130" i="13" s="1"/>
  <c r="K287" i="13"/>
  <c r="M287" i="13" s="1"/>
  <c r="C202" i="13"/>
  <c r="D202" i="13"/>
  <c r="K28" i="13"/>
  <c r="M28" i="13" s="1"/>
  <c r="D83" i="13"/>
  <c r="C83" i="13"/>
  <c r="K184" i="13"/>
  <c r="M184" i="13" s="1"/>
  <c r="L246" i="13"/>
  <c r="D168" i="13"/>
  <c r="C168" i="13"/>
  <c r="K126" i="13"/>
  <c r="M126" i="13" s="1"/>
  <c r="K155" i="13"/>
  <c r="M155" i="13" s="1"/>
  <c r="C259" i="13"/>
  <c r="D259" i="13"/>
  <c r="K31" i="13"/>
  <c r="M31" i="13" s="1"/>
  <c r="K189" i="13"/>
  <c r="M189" i="13" s="1"/>
  <c r="C214" i="13"/>
  <c r="D214" i="13"/>
  <c r="K289" i="13"/>
  <c r="M289" i="13" s="1"/>
  <c r="L20" i="13"/>
  <c r="L227" i="13"/>
  <c r="K97" i="13"/>
  <c r="M97" i="13" s="1"/>
  <c r="D179" i="13"/>
  <c r="C179" i="13"/>
  <c r="D88" i="13"/>
  <c r="C88" i="13"/>
  <c r="K121" i="13"/>
  <c r="M121" i="13" s="1"/>
  <c r="L175" i="13"/>
  <c r="C180" i="13"/>
  <c r="D180" i="13"/>
  <c r="C154" i="13"/>
  <c r="D154" i="13"/>
  <c r="L71" i="13"/>
  <c r="D285" i="13"/>
  <c r="C285" i="13"/>
  <c r="C49" i="13"/>
  <c r="D49" i="13"/>
  <c r="L107" i="13"/>
  <c r="D39" i="13"/>
  <c r="C39" i="13"/>
  <c r="C205" i="13"/>
  <c r="D205" i="13"/>
  <c r="D261" i="13"/>
  <c r="C261" i="13"/>
  <c r="K247" i="13"/>
  <c r="M247" i="13" s="1"/>
  <c r="K231" i="13"/>
  <c r="M231" i="13" s="1"/>
  <c r="L99" i="13"/>
  <c r="L219" i="13"/>
  <c r="L257" i="13"/>
  <c r="C163" i="13"/>
  <c r="D163" i="13"/>
  <c r="K273" i="13"/>
  <c r="M273" i="13" s="1"/>
  <c r="L285" i="13"/>
  <c r="D136" i="13"/>
  <c r="C136" i="13"/>
  <c r="C207" i="13"/>
  <c r="D207" i="13"/>
  <c r="K34" i="13"/>
  <c r="M34" i="13" s="1"/>
  <c r="D85" i="13"/>
  <c r="C85" i="13"/>
  <c r="D284" i="13"/>
  <c r="C284" i="13"/>
  <c r="C119" i="13"/>
  <c r="D119" i="13"/>
  <c r="K216" i="13"/>
  <c r="M216" i="13" s="1"/>
  <c r="K253" i="13"/>
  <c r="M253" i="13" s="1"/>
  <c r="C225" i="13"/>
  <c r="D225" i="13"/>
  <c r="D287" i="13"/>
  <c r="C287" i="13"/>
  <c r="C264" i="13"/>
  <c r="D264" i="13"/>
  <c r="C6" i="13"/>
  <c r="D6" i="13"/>
  <c r="C184" i="13"/>
  <c r="D184" i="13"/>
  <c r="C35" i="13"/>
  <c r="D35" i="13"/>
  <c r="D115" i="13"/>
  <c r="C115" i="13"/>
  <c r="D100" i="13"/>
  <c r="C100" i="13"/>
  <c r="D41" i="13"/>
  <c r="C41" i="13"/>
  <c r="D236" i="13"/>
  <c r="C236" i="13"/>
  <c r="K195" i="13"/>
  <c r="M195" i="13" s="1"/>
  <c r="D40" i="13"/>
  <c r="C40" i="13"/>
  <c r="K205" i="13"/>
  <c r="M205" i="13" s="1"/>
  <c r="D255" i="13"/>
  <c r="C255" i="13"/>
  <c r="K135" i="13"/>
  <c r="M135" i="13" s="1"/>
  <c r="C46" i="13"/>
  <c r="D46" i="13"/>
  <c r="C61" i="13"/>
  <c r="D61" i="13"/>
  <c r="C289" i="13"/>
  <c r="D289" i="13"/>
  <c r="D237" i="13"/>
  <c r="C237" i="13"/>
  <c r="D24" i="13"/>
  <c r="C24" i="13"/>
  <c r="K214" i="13"/>
  <c r="M214" i="13" s="1"/>
  <c r="D89" i="13"/>
  <c r="C89" i="13"/>
  <c r="C201" i="13"/>
  <c r="D201" i="13"/>
  <c r="L135" i="13"/>
  <c r="L63" i="13"/>
  <c r="D260" i="13"/>
  <c r="C260" i="13"/>
  <c r="K223" i="13"/>
  <c r="M223" i="13" s="1"/>
  <c r="C185" i="13"/>
  <c r="D185" i="13"/>
  <c r="L234" i="13"/>
  <c r="C244" i="13"/>
  <c r="D244" i="13"/>
  <c r="C199" i="13"/>
  <c r="D199" i="13"/>
  <c r="D127" i="13"/>
  <c r="C127" i="13"/>
  <c r="C68" i="13"/>
  <c r="D68" i="13"/>
  <c r="D222" i="13"/>
  <c r="C222" i="13"/>
  <c r="D92" i="13"/>
  <c r="C92" i="13"/>
  <c r="C8" i="13"/>
  <c r="D8" i="13"/>
  <c r="K193" i="13"/>
  <c r="M193" i="13" s="1"/>
  <c r="D108" i="13"/>
  <c r="C108" i="13"/>
  <c r="K288" i="13"/>
  <c r="M288" i="13" s="1"/>
  <c r="K227" i="13"/>
  <c r="M227" i="13" s="1"/>
  <c r="K148" i="13"/>
  <c r="M148" i="13" s="1"/>
  <c r="D258" i="13"/>
  <c r="C258" i="13"/>
  <c r="K25" i="13"/>
  <c r="M25" i="13" s="1"/>
  <c r="D238" i="13"/>
  <c r="C238" i="13"/>
  <c r="D186" i="13"/>
  <c r="C186" i="13"/>
  <c r="K71" i="13"/>
  <c r="M71" i="13" s="1"/>
  <c r="K218" i="13"/>
  <c r="M218" i="13" s="1"/>
  <c r="K57" i="13"/>
  <c r="M57" i="13" s="1"/>
  <c r="D82" i="13"/>
  <c r="C82" i="13"/>
  <c r="D275" i="13"/>
  <c r="C275" i="13"/>
  <c r="D196" i="13"/>
  <c r="C196" i="13"/>
  <c r="L55" i="13"/>
  <c r="C200" i="13"/>
  <c r="D200" i="13"/>
  <c r="D5" i="13"/>
  <c r="C5" i="13"/>
  <c r="K91" i="13"/>
  <c r="M91" i="13" s="1"/>
  <c r="K265" i="13"/>
  <c r="M265" i="13" s="1"/>
  <c r="D249" i="13"/>
  <c r="C249" i="13"/>
  <c r="D203" i="13"/>
  <c r="C203" i="13"/>
  <c r="L35" i="13"/>
  <c r="C242" i="13"/>
  <c r="D242" i="13"/>
  <c r="L14" i="13"/>
  <c r="K277" i="13"/>
  <c r="M277" i="13" s="1"/>
  <c r="K137" i="13"/>
  <c r="M137" i="13" s="1"/>
  <c r="K30" i="13"/>
  <c r="M30" i="13" s="1"/>
  <c r="K266" i="13"/>
  <c r="M266" i="13" s="1"/>
  <c r="K143" i="13"/>
  <c r="M143" i="13" s="1"/>
  <c r="C28" i="13"/>
  <c r="D28" i="13"/>
  <c r="L113" i="13"/>
  <c r="K85" i="13"/>
  <c r="M85" i="13" s="1"/>
  <c r="C11" i="13"/>
  <c r="D11" i="13"/>
  <c r="K248" i="13"/>
  <c r="M248" i="13" s="1"/>
  <c r="D120" i="13"/>
  <c r="C120" i="13"/>
  <c r="C137" i="13"/>
  <c r="D137" i="13"/>
  <c r="K239" i="13"/>
  <c r="M239" i="13" s="1"/>
  <c r="C215" i="13"/>
  <c r="D215" i="13"/>
  <c r="D250" i="13"/>
  <c r="C250" i="13"/>
  <c r="D42" i="13"/>
  <c r="C42" i="13"/>
  <c r="L125" i="13"/>
  <c r="C169" i="13"/>
  <c r="D169" i="13"/>
  <c r="K38" i="13"/>
  <c r="M38" i="13" s="1"/>
  <c r="D278" i="13"/>
  <c r="C278" i="13"/>
  <c r="C94" i="13"/>
  <c r="D94" i="13"/>
  <c r="L51" i="13"/>
  <c r="K122" i="13"/>
  <c r="M122" i="13" s="1"/>
  <c r="C274" i="13"/>
  <c r="D274" i="13"/>
  <c r="K196" i="13"/>
  <c r="M196" i="13" s="1"/>
  <c r="K176" i="13"/>
  <c r="M176" i="13" s="1"/>
  <c r="K70" i="13"/>
  <c r="M70" i="13" s="1"/>
  <c r="K159" i="13"/>
  <c r="M159" i="13" s="1"/>
  <c r="L8" i="13"/>
  <c r="K237" i="13"/>
  <c r="M237" i="13" s="1"/>
  <c r="K67" i="13"/>
  <c r="M67" i="13" s="1"/>
  <c r="D219" i="13"/>
  <c r="C219" i="13"/>
  <c r="L215" i="13"/>
  <c r="L181" i="13"/>
  <c r="K55" i="13"/>
  <c r="M55" i="13" s="1"/>
  <c r="K76" i="13"/>
  <c r="M76" i="13" s="1"/>
  <c r="C116" i="13"/>
  <c r="D116" i="13"/>
  <c r="C101" i="13"/>
  <c r="D101" i="13"/>
  <c r="D44" i="13"/>
  <c r="C44" i="13"/>
  <c r="C30" i="13"/>
  <c r="D30" i="13"/>
  <c r="D111" i="13"/>
  <c r="C111" i="13"/>
  <c r="C135" i="13"/>
  <c r="D135" i="13"/>
  <c r="D22" i="13"/>
  <c r="C22" i="13"/>
  <c r="K103" i="13"/>
  <c r="M103" i="13" s="1"/>
  <c r="C165" i="13"/>
  <c r="D165" i="13"/>
  <c r="C288" i="13"/>
  <c r="D288" i="13"/>
  <c r="C235" i="13"/>
  <c r="D235" i="13"/>
  <c r="C218" i="13"/>
  <c r="D218" i="13"/>
  <c r="C158" i="13"/>
  <c r="D158" i="13"/>
  <c r="K73" i="13"/>
  <c r="M73" i="13" s="1"/>
  <c r="D269" i="13"/>
  <c r="C269" i="13"/>
  <c r="K22" i="13"/>
  <c r="M22" i="13" s="1"/>
  <c r="L275" i="13"/>
  <c r="C159" i="13"/>
  <c r="D159" i="13"/>
  <c r="K221" i="13"/>
  <c r="M221" i="13" s="1"/>
  <c r="C246" i="13"/>
  <c r="D246" i="13"/>
  <c r="K84" i="13"/>
  <c r="M84" i="13" s="1"/>
  <c r="L173" i="13"/>
  <c r="D256" i="13"/>
  <c r="C256" i="13"/>
  <c r="C112" i="13"/>
  <c r="D112" i="13"/>
  <c r="D224" i="13"/>
  <c r="C224" i="13"/>
  <c r="K136" i="13"/>
  <c r="M136" i="13" s="1"/>
  <c r="C188" i="13"/>
  <c r="D188" i="13"/>
  <c r="C145" i="13"/>
  <c r="D145" i="13"/>
  <c r="K29" i="13"/>
  <c r="M29" i="13" s="1"/>
  <c r="D96" i="13"/>
  <c r="C96" i="13"/>
  <c r="K94" i="13"/>
  <c r="M94" i="13" s="1"/>
  <c r="D16" i="13"/>
  <c r="C16" i="13"/>
  <c r="K241" i="13"/>
  <c r="M241" i="13" s="1"/>
  <c r="C161" i="13"/>
  <c r="D161" i="13"/>
  <c r="L151" i="13"/>
  <c r="K179" i="13"/>
  <c r="M179" i="13" s="1"/>
  <c r="L291" i="13"/>
  <c r="K206" i="13"/>
  <c r="M206" i="13" s="1"/>
  <c r="K163" i="13"/>
  <c r="M163" i="13" s="1"/>
  <c r="K96" i="13"/>
  <c r="M96" i="13" s="1"/>
  <c r="D271" i="13"/>
  <c r="C271" i="13"/>
  <c r="D160" i="13"/>
  <c r="C160" i="13"/>
  <c r="K87" i="13"/>
  <c r="M87" i="13" s="1"/>
  <c r="D166" i="13"/>
  <c r="C166" i="13"/>
  <c r="C13" i="13"/>
  <c r="D13" i="13"/>
  <c r="C277" i="13"/>
  <c r="D277" i="13"/>
  <c r="C267" i="13"/>
  <c r="D267" i="13"/>
  <c r="L177" i="13"/>
  <c r="K125" i="13"/>
  <c r="M125" i="13" s="1"/>
  <c r="D12" i="13"/>
  <c r="C12" i="13"/>
  <c r="K229" i="13"/>
  <c r="M229" i="13" s="1"/>
  <c r="D70" i="13"/>
  <c r="C70" i="13"/>
  <c r="C18" i="13"/>
  <c r="D18" i="13"/>
  <c r="K217" i="13"/>
  <c r="M217" i="13" s="1"/>
  <c r="K170" i="13"/>
  <c r="M170" i="13" s="1"/>
  <c r="L163" i="13"/>
  <c r="L185" i="13"/>
  <c r="L24" i="13"/>
  <c r="K224" i="13"/>
  <c r="M224" i="13" s="1"/>
  <c r="K26" i="13"/>
  <c r="M26" i="13" s="1"/>
  <c r="K105" i="13"/>
  <c r="M105" i="13" s="1"/>
  <c r="L43" i="13"/>
  <c r="D126" i="13"/>
  <c r="C126" i="13"/>
  <c r="K286" i="13"/>
  <c r="M286" i="13" s="1"/>
  <c r="L167" i="13"/>
  <c r="L281" i="13"/>
  <c r="K82" i="13"/>
  <c r="M82" i="13" s="1"/>
  <c r="L203" i="13"/>
  <c r="D75" i="13"/>
  <c r="C75" i="13"/>
  <c r="C254" i="13"/>
  <c r="D254" i="13"/>
  <c r="L287" i="13"/>
  <c r="C58" i="13"/>
  <c r="D58" i="13"/>
  <c r="D59" i="13"/>
  <c r="C59" i="13"/>
  <c r="K10" i="13"/>
  <c r="M10" i="13" s="1"/>
  <c r="K46" i="13"/>
  <c r="M46" i="13" s="1"/>
  <c r="C227" i="13"/>
  <c r="D227" i="13"/>
  <c r="K123" i="13"/>
  <c r="M123" i="13" s="1"/>
  <c r="K272" i="13"/>
  <c r="M272" i="13" s="1"/>
  <c r="K27" i="13"/>
  <c r="M27" i="13" s="1"/>
  <c r="K5" i="13"/>
  <c r="C181" i="13"/>
  <c r="D181" i="13"/>
  <c r="K242" i="13"/>
  <c r="M242" i="13" s="1"/>
  <c r="C153" i="13"/>
  <c r="D153" i="13"/>
  <c r="C81" i="13"/>
  <c r="D81" i="13"/>
  <c r="D130" i="13"/>
  <c r="C130" i="13"/>
  <c r="L57" i="13"/>
  <c r="D216" i="13"/>
  <c r="C216" i="13"/>
  <c r="L201" i="13"/>
  <c r="D233" i="13"/>
  <c r="C233" i="13"/>
  <c r="D74" i="13"/>
  <c r="C74" i="13"/>
  <c r="D156" i="13"/>
  <c r="C156" i="13"/>
  <c r="K167" i="13"/>
  <c r="M167" i="13" s="1"/>
  <c r="C33" i="13"/>
  <c r="D33" i="13"/>
  <c r="L141" i="13"/>
  <c r="D27" i="13"/>
  <c r="C27" i="13"/>
  <c r="D155" i="13"/>
  <c r="C155" i="13"/>
  <c r="D138" i="13"/>
  <c r="C138" i="13"/>
  <c r="K110" i="13"/>
  <c r="M110" i="13" s="1"/>
  <c r="C91" i="13"/>
  <c r="D91" i="13"/>
  <c r="C133" i="13"/>
  <c r="D133" i="13"/>
  <c r="C283" i="13"/>
  <c r="D283" i="13"/>
  <c r="L187" i="13"/>
  <c r="C220" i="13"/>
  <c r="D220" i="13"/>
  <c r="C195" i="13"/>
  <c r="D195" i="13"/>
  <c r="K141" i="13"/>
  <c r="M141" i="13" s="1"/>
  <c r="K39" i="13"/>
  <c r="M39" i="13" s="1"/>
  <c r="K16" i="13"/>
  <c r="M16" i="13" s="1"/>
  <c r="K41" i="13"/>
  <c r="M41" i="13" s="1"/>
  <c r="D109" i="13"/>
  <c r="C109" i="13"/>
  <c r="D251" i="13"/>
  <c r="C251" i="13"/>
  <c r="K99" i="13"/>
  <c r="M99" i="13" s="1"/>
  <c r="K249" i="13"/>
  <c r="M249" i="13" s="1"/>
  <c r="K149" i="13"/>
  <c r="M149" i="13" s="1"/>
  <c r="L73" i="13"/>
  <c r="D146" i="13"/>
  <c r="C146" i="13"/>
  <c r="L273" i="13"/>
  <c r="K204" i="13"/>
  <c r="M204" i="13" s="1"/>
  <c r="C114" i="13"/>
  <c r="D114" i="13"/>
  <c r="L231" i="13"/>
  <c r="C54" i="13"/>
  <c r="D54" i="13"/>
  <c r="D107" i="13"/>
  <c r="C107" i="13"/>
  <c r="C234" i="13"/>
  <c r="D234" i="13"/>
  <c r="C208" i="13"/>
  <c r="D208" i="13"/>
  <c r="L85" i="13"/>
  <c r="L105" i="13"/>
  <c r="K236" i="13"/>
  <c r="M236" i="13" s="1"/>
  <c r="D56" i="13"/>
  <c r="C56" i="13"/>
  <c r="K53" i="13"/>
  <c r="M53" i="13" s="1"/>
  <c r="C15" i="13"/>
  <c r="D15" i="13"/>
  <c r="C229" i="13"/>
  <c r="D229" i="13"/>
  <c r="K256" i="13"/>
  <c r="M256" i="13" s="1"/>
  <c r="L221" i="13"/>
  <c r="D36" i="13"/>
  <c r="C36" i="13"/>
  <c r="C175" i="13"/>
  <c r="D175" i="13"/>
  <c r="C60" i="13"/>
  <c r="D60" i="13"/>
  <c r="K40" i="13"/>
  <c r="M40" i="13" s="1"/>
  <c r="H2" i="13"/>
  <c r="L6" i="13"/>
  <c r="C110" i="13"/>
  <c r="D110" i="13"/>
  <c r="D104" i="13"/>
  <c r="C104" i="13"/>
  <c r="L95" i="13"/>
  <c r="L157" i="13"/>
  <c r="L22" i="13"/>
  <c r="K117" i="13"/>
  <c r="M117" i="13" s="1"/>
  <c r="L259" i="13"/>
  <c r="C162" i="13"/>
  <c r="D162" i="13"/>
  <c r="C72" i="13"/>
  <c r="D72" i="13"/>
  <c r="K158" i="13"/>
  <c r="M158" i="13" s="1"/>
  <c r="L225" i="13"/>
  <c r="L143" i="13"/>
  <c r="D38" i="13"/>
  <c r="C38" i="13"/>
  <c r="D183" i="13"/>
  <c r="C183" i="13"/>
  <c r="C117" i="13"/>
  <c r="D117" i="13"/>
  <c r="L109" i="13"/>
  <c r="K199" i="13"/>
  <c r="M199" i="13" s="1"/>
  <c r="D152" i="13"/>
  <c r="C152" i="13"/>
  <c r="D243" i="13"/>
  <c r="C243" i="13"/>
  <c r="K138" i="13"/>
  <c r="M138" i="13" s="1"/>
  <c r="K52" i="13"/>
  <c r="M52" i="13" s="1"/>
  <c r="D143" i="13"/>
  <c r="C143" i="13"/>
  <c r="K191" i="13"/>
  <c r="M191" i="13" s="1"/>
  <c r="K267" i="13"/>
  <c r="M267" i="13" s="1"/>
  <c r="K134" i="13"/>
  <c r="M134" i="13" s="1"/>
  <c r="K238" i="13"/>
  <c r="M238" i="13" s="1"/>
  <c r="L216" i="13"/>
  <c r="D182" i="13"/>
  <c r="C182" i="13"/>
  <c r="K261" i="13"/>
  <c r="M261" i="13" s="1"/>
  <c r="K154" i="13"/>
  <c r="M154" i="13" s="1"/>
  <c r="D187" i="13"/>
  <c r="C187" i="13"/>
  <c r="K88" i="13"/>
  <c r="M88" i="13" s="1"/>
  <c r="D17" i="13"/>
  <c r="C17" i="13"/>
  <c r="L147" i="13"/>
  <c r="D99" i="13"/>
  <c r="C99" i="13"/>
  <c r="C173" i="13"/>
  <c r="D173" i="13"/>
  <c r="L211" i="13"/>
  <c r="I2" i="13" l="1"/>
  <c r="L2" i="13"/>
  <c r="BI68" i="6"/>
  <c r="P81" i="6"/>
  <c r="G69" i="6"/>
  <c r="AI46" i="6"/>
  <c r="J30" i="6"/>
  <c r="BG82" i="6"/>
  <c r="BL54" i="6"/>
  <c r="AE79" i="6"/>
  <c r="AD66" i="6"/>
  <c r="BB10" i="6"/>
  <c r="AN39" i="6"/>
  <c r="AF82" i="6"/>
  <c r="AO11" i="6"/>
  <c r="G64" i="6"/>
  <c r="AK39" i="6"/>
  <c r="AR16" i="6"/>
  <c r="AN70" i="6"/>
  <c r="AB73" i="6"/>
  <c r="BD57" i="6"/>
  <c r="AU57" i="6"/>
  <c r="W19" i="6"/>
  <c r="AU64" i="6"/>
  <c r="BD64" i="6"/>
  <c r="U18" i="6"/>
  <c r="AC27" i="6"/>
  <c r="AW35" i="6"/>
  <c r="AE77" i="6"/>
  <c r="AO30" i="6"/>
  <c r="L61" i="6"/>
  <c r="AP34" i="6"/>
  <c r="T68" i="6"/>
  <c r="AB32" i="6"/>
  <c r="AQ24" i="6"/>
  <c r="BF26" i="6"/>
  <c r="BE16" i="6"/>
  <c r="BC12" i="6"/>
  <c r="P11" i="6"/>
  <c r="E46" i="6"/>
  <c r="E61" i="6"/>
  <c r="I54" i="6"/>
  <c r="X65" i="6"/>
  <c r="E31" i="7"/>
  <c r="AT14" i="6"/>
  <c r="F51" i="6"/>
  <c r="AT48" i="6"/>
  <c r="AW20" i="6"/>
  <c r="AP70" i="6"/>
  <c r="H27" i="6"/>
  <c r="L52" i="6"/>
  <c r="Q51" i="6"/>
  <c r="AS72" i="6"/>
  <c r="BL17" i="6"/>
  <c r="AJ32" i="6"/>
  <c r="BH11" i="6"/>
  <c r="BB80" i="6"/>
  <c r="BF70" i="6"/>
  <c r="AL26" i="6"/>
  <c r="E72" i="6"/>
  <c r="BB78" i="6"/>
  <c r="BA49" i="6"/>
  <c r="BC58" i="6"/>
  <c r="I46" i="6"/>
  <c r="AL45" i="6"/>
  <c r="AA58" i="6"/>
  <c r="AK60" i="6"/>
  <c r="I70" i="6"/>
  <c r="G81" i="6"/>
  <c r="AQ58" i="6"/>
  <c r="AJ27" i="6"/>
  <c r="N17" i="6"/>
  <c r="M42" i="6"/>
  <c r="AD29" i="6"/>
  <c r="AQ20" i="6"/>
  <c r="BI74" i="6"/>
  <c r="R26" i="6"/>
  <c r="J66" i="6"/>
  <c r="AD41" i="6"/>
  <c r="K11" i="6"/>
  <c r="AZ22" i="6"/>
  <c r="AQ60" i="6"/>
  <c r="AT49" i="6"/>
  <c r="AH66" i="6"/>
  <c r="AC66" i="6"/>
  <c r="P26" i="6"/>
  <c r="AY26" i="6"/>
  <c r="AU40" i="6"/>
  <c r="L37" i="6"/>
  <c r="AQ30" i="6"/>
  <c r="AU25" i="6"/>
  <c r="N51" i="6"/>
  <c r="X12" i="6"/>
  <c r="N36" i="6"/>
  <c r="AV54" i="6"/>
  <c r="AN21" i="6"/>
  <c r="R23" i="6"/>
  <c r="BL52" i="6"/>
  <c r="E66" i="6"/>
  <c r="BJ77" i="6"/>
  <c r="BI26" i="6"/>
  <c r="AX69" i="6"/>
  <c r="AU77" i="6"/>
  <c r="Z46" i="6"/>
  <c r="J42" i="6"/>
  <c r="AZ68" i="6"/>
  <c r="E62" i="6"/>
  <c r="G41" i="6"/>
  <c r="BC56" i="6"/>
  <c r="BJ57" i="6"/>
  <c r="S19" i="6"/>
  <c r="AB68" i="6"/>
  <c r="L36" i="6"/>
  <c r="AM75" i="6"/>
  <c r="R25" i="6"/>
  <c r="U69" i="6"/>
  <c r="V47" i="6"/>
  <c r="T79" i="6"/>
  <c r="BF36" i="6"/>
  <c r="AN19" i="6"/>
  <c r="V29" i="6"/>
  <c r="E43" i="6"/>
  <c r="L33" i="6"/>
  <c r="H75" i="6"/>
  <c r="V12" i="6"/>
  <c r="AY11" i="6"/>
  <c r="AS24" i="6"/>
  <c r="AN76" i="6"/>
  <c r="BD35" i="6"/>
  <c r="E18" i="6"/>
  <c r="BE39" i="6"/>
  <c r="P30" i="6"/>
  <c r="AO60" i="6"/>
  <c r="AL60" i="6"/>
  <c r="N81" i="6"/>
  <c r="K15" i="6"/>
  <c r="AP67" i="6"/>
  <c r="V59" i="6"/>
  <c r="AH67" i="6"/>
  <c r="Y61" i="6"/>
  <c r="AK18" i="6"/>
  <c r="AO35" i="6"/>
  <c r="AX12" i="6"/>
  <c r="AE76" i="6"/>
  <c r="I67" i="6"/>
  <c r="X20" i="6"/>
  <c r="AQ23" i="6"/>
  <c r="E25" i="7"/>
  <c r="AQ57" i="6"/>
  <c r="U34" i="6"/>
  <c r="AK72" i="6"/>
  <c r="AY20" i="6"/>
  <c r="F26" i="6"/>
  <c r="G25" i="6"/>
  <c r="Z72" i="6"/>
  <c r="AW44" i="6"/>
  <c r="R59" i="6"/>
  <c r="AR68" i="6"/>
  <c r="AJ68" i="6"/>
  <c r="AZ61" i="6"/>
  <c r="AM19" i="6"/>
  <c r="H31" i="8"/>
  <c r="R22" i="6"/>
  <c r="I79" i="6"/>
  <c r="R43" i="6"/>
  <c r="AW53" i="6"/>
  <c r="BH22" i="6"/>
  <c r="AJ20" i="6"/>
  <c r="Y68" i="6"/>
  <c r="AB70" i="6"/>
  <c r="L66" i="6"/>
  <c r="AR25" i="6"/>
  <c r="K70" i="6"/>
  <c r="BF44" i="6"/>
  <c r="J27" i="6"/>
  <c r="AE35" i="6"/>
  <c r="AS64" i="6"/>
  <c r="Z68" i="6"/>
  <c r="AW81" i="6"/>
  <c r="F27" i="6"/>
  <c r="R62" i="6"/>
  <c r="I42" i="6"/>
  <c r="M75" i="6"/>
  <c r="AV74" i="6"/>
  <c r="H10" i="6"/>
  <c r="AI55" i="6"/>
  <c r="V57" i="6"/>
  <c r="Y48" i="6"/>
  <c r="AY19" i="6"/>
  <c r="AL62" i="6"/>
  <c r="W25" i="6"/>
  <c r="AQ32" i="6"/>
  <c r="K21" i="6"/>
  <c r="AF34" i="6"/>
  <c r="M11" i="6"/>
  <c r="BC70" i="6"/>
  <c r="P60" i="6"/>
  <c r="AJ55" i="6"/>
  <c r="BC42" i="6"/>
  <c r="AE31" i="6"/>
  <c r="W23" i="6"/>
  <c r="I32" i="6"/>
  <c r="X64" i="6"/>
  <c r="W57" i="6"/>
  <c r="N42" i="6"/>
  <c r="T32" i="6"/>
  <c r="AX61" i="6"/>
  <c r="AT33" i="6"/>
  <c r="BB20" i="6"/>
  <c r="AK34" i="6"/>
  <c r="BC43" i="6"/>
  <c r="R18" i="6"/>
  <c r="P52" i="6"/>
  <c r="BJ70" i="6"/>
  <c r="AC19" i="6"/>
  <c r="AB76" i="6"/>
  <c r="Q69" i="6"/>
  <c r="E28" i="6"/>
  <c r="AZ28" i="6"/>
  <c r="AJ34" i="6"/>
  <c r="AL23" i="6"/>
  <c r="BJ21" i="6"/>
  <c r="V39" i="6"/>
  <c r="AR65" i="6"/>
  <c r="AG67" i="6"/>
  <c r="AY43" i="6"/>
  <c r="AN29" i="6"/>
  <c r="AK32" i="6"/>
  <c r="AU45" i="6"/>
  <c r="Y80" i="6"/>
  <c r="AR74" i="6"/>
  <c r="AC48" i="6"/>
  <c r="E32" i="6"/>
  <c r="BH27" i="6"/>
  <c r="E16" i="6"/>
  <c r="BK18" i="6"/>
  <c r="N66" i="6"/>
  <c r="AZ45" i="6"/>
  <c r="U49" i="6"/>
  <c r="AF36" i="6"/>
  <c r="BE14" i="6"/>
  <c r="H40" i="6"/>
  <c r="X27" i="6"/>
  <c r="AF79" i="6"/>
  <c r="BA41" i="6"/>
  <c r="BL59" i="6"/>
  <c r="AE63" i="6"/>
  <c r="BF19" i="6"/>
  <c r="AP62" i="6"/>
  <c r="BF39" i="6"/>
  <c r="N76" i="6"/>
  <c r="AH14" i="6"/>
  <c r="J33" i="6"/>
  <c r="N24" i="6"/>
  <c r="R82" i="6"/>
  <c r="AT44" i="6"/>
  <c r="G60" i="6"/>
  <c r="AN51" i="6"/>
  <c r="BB24" i="6"/>
  <c r="AZ47" i="6"/>
  <c r="AZ30" i="6"/>
  <c r="E82" i="6"/>
  <c r="H46" i="6"/>
  <c r="BH26" i="6"/>
  <c r="Y15" i="6"/>
  <c r="L23" i="6"/>
  <c r="BE17" i="6"/>
  <c r="AG13" i="6"/>
  <c r="AA51" i="6"/>
  <c r="R55" i="6"/>
  <c r="BK14" i="6"/>
  <c r="AH57" i="6"/>
  <c r="AZ74" i="6"/>
  <c r="M79" i="6"/>
  <c r="AD74" i="6"/>
  <c r="L19" i="6"/>
  <c r="AX80" i="6"/>
  <c r="G44" i="6"/>
  <c r="BL33" i="6"/>
  <c r="H13" i="6"/>
  <c r="BG81" i="6"/>
  <c r="AY32" i="6"/>
  <c r="AD71" i="6"/>
  <c r="AN59" i="6"/>
  <c r="V42" i="6"/>
  <c r="AE56" i="6"/>
  <c r="Z16" i="6"/>
  <c r="J59" i="6"/>
  <c r="M44" i="6"/>
  <c r="AL65" i="6"/>
  <c r="O73" i="6"/>
  <c r="BB22" i="6"/>
  <c r="BH46" i="6"/>
  <c r="AH31" i="6"/>
  <c r="BD61" i="6"/>
  <c r="BC17" i="6"/>
  <c r="AH17" i="6"/>
  <c r="AK46" i="6"/>
  <c r="G51" i="6"/>
  <c r="BA28" i="6"/>
  <c r="AU48" i="6"/>
  <c r="BF25" i="6"/>
  <c r="O59" i="6"/>
  <c r="Z63" i="6"/>
  <c r="M69" i="6"/>
  <c r="AZ18" i="6"/>
  <c r="AY34" i="6"/>
  <c r="BK21" i="6"/>
  <c r="AM81" i="6"/>
  <c r="AD57" i="6"/>
  <c r="K19" i="6"/>
  <c r="BG11" i="6"/>
  <c r="N75" i="6"/>
  <c r="T25" i="6"/>
  <c r="I63" i="6"/>
  <c r="AS71" i="6"/>
  <c r="J15" i="6"/>
  <c r="AW48" i="6"/>
  <c r="BJ69" i="6"/>
  <c r="W43" i="6"/>
  <c r="AQ75" i="6"/>
  <c r="T81" i="6"/>
  <c r="AZ37" i="6"/>
  <c r="AA15" i="6"/>
  <c r="F70" i="6"/>
  <c r="U68" i="6"/>
  <c r="BG72" i="6"/>
  <c r="M64" i="6"/>
  <c r="BB11" i="6"/>
  <c r="M71" i="6"/>
  <c r="Y62" i="6"/>
  <c r="AH80" i="6"/>
  <c r="AT21" i="6"/>
  <c r="AA75" i="6"/>
  <c r="BG54" i="6"/>
  <c r="BA16" i="6"/>
  <c r="BG71" i="6"/>
  <c r="AW64" i="6"/>
  <c r="BC39" i="6"/>
  <c r="AR34" i="6"/>
  <c r="Y67" i="6"/>
  <c r="Q38" i="6"/>
  <c r="AT23" i="6"/>
  <c r="T19" i="6"/>
  <c r="AC29" i="6"/>
  <c r="AF58" i="6"/>
  <c r="AN66" i="6"/>
  <c r="W71" i="6"/>
  <c r="Z42" i="6"/>
  <c r="AR26" i="6"/>
  <c r="AP38" i="6"/>
  <c r="AY45" i="6"/>
  <c r="BA26" i="6"/>
  <c r="AL59" i="6"/>
  <c r="I47" i="6"/>
  <c r="BH76" i="6"/>
  <c r="BI31" i="6"/>
  <c r="F23" i="6"/>
  <c r="AV58" i="6"/>
  <c r="AN58" i="6"/>
  <c r="BJ33" i="6"/>
  <c r="BB48" i="6"/>
  <c r="AV75" i="6"/>
  <c r="BF66" i="6"/>
  <c r="AZ33" i="6"/>
  <c r="L35" i="6"/>
  <c r="S10" i="6"/>
  <c r="BA78" i="6"/>
  <c r="AP54" i="6"/>
  <c r="BD31" i="6"/>
  <c r="AY69" i="6"/>
  <c r="BE27" i="6"/>
  <c r="AF46" i="6"/>
  <c r="Q57" i="6"/>
  <c r="N26" i="6"/>
  <c r="AW57" i="6"/>
  <c r="K35" i="6"/>
  <c r="W66" i="6"/>
  <c r="E10" i="8"/>
  <c r="BF29" i="6"/>
  <c r="P48" i="6"/>
  <c r="AJ31" i="6"/>
  <c r="AV78" i="6"/>
  <c r="L10" i="6"/>
  <c r="G54" i="6"/>
  <c r="N11" i="6"/>
  <c r="K71" i="6"/>
  <c r="F34" i="6"/>
  <c r="Y33" i="6"/>
  <c r="BA23" i="6"/>
  <c r="AQ80" i="6"/>
  <c r="W34" i="6"/>
  <c r="O65" i="6"/>
  <c r="E10" i="7"/>
  <c r="AV38" i="6"/>
  <c r="AM70" i="6"/>
  <c r="AG77" i="6"/>
  <c r="Q47" i="6"/>
  <c r="Q27" i="6"/>
  <c r="L63" i="6"/>
  <c r="BG25" i="6"/>
  <c r="AR18" i="6"/>
  <c r="Q78" i="6"/>
  <c r="O52" i="6"/>
  <c r="AL56" i="6"/>
  <c r="P31" i="6"/>
  <c r="AY18" i="6"/>
  <c r="AG12" i="6"/>
  <c r="AB20" i="6"/>
  <c r="AG15" i="6"/>
  <c r="AW14" i="6"/>
  <c r="W36" i="6"/>
  <c r="BL12" i="6"/>
  <c r="AO26" i="6"/>
  <c r="AP18" i="6"/>
  <c r="P71" i="6"/>
  <c r="K78" i="6"/>
  <c r="E33" i="8"/>
  <c r="V68" i="6"/>
  <c r="AV80" i="6"/>
  <c r="AE21" i="6"/>
  <c r="AB12" i="6"/>
  <c r="BJ36" i="6"/>
  <c r="V44" i="6"/>
  <c r="H44" i="6"/>
  <c r="AZ32" i="6"/>
  <c r="AE42" i="6"/>
  <c r="BJ52" i="6"/>
  <c r="AK57" i="6"/>
  <c r="AP81" i="6"/>
  <c r="J19" i="6"/>
  <c r="BC69" i="6"/>
  <c r="AO37" i="6"/>
  <c r="R44" i="6"/>
  <c r="AC53" i="6"/>
  <c r="AR44" i="6"/>
  <c r="AL34" i="6"/>
  <c r="BH80" i="6"/>
  <c r="AO47" i="6"/>
  <c r="BG31" i="6"/>
  <c r="BH34" i="6"/>
  <c r="L41" i="6"/>
  <c r="BJ47" i="6"/>
  <c r="Z26" i="6"/>
  <c r="AK69" i="6"/>
  <c r="BF22" i="6"/>
  <c r="AT82" i="6"/>
  <c r="AX72" i="6"/>
  <c r="S44" i="6"/>
  <c r="BF28" i="6"/>
  <c r="BK41" i="6"/>
  <c r="AG39" i="6"/>
  <c r="AD15" i="6"/>
  <c r="AQ51" i="6"/>
  <c r="I12" i="6"/>
  <c r="AK82" i="6"/>
  <c r="AN60" i="6"/>
  <c r="BI65" i="6"/>
  <c r="AJ36" i="6"/>
  <c r="K80" i="6"/>
  <c r="AV59" i="6"/>
  <c r="AN18" i="6"/>
  <c r="W29" i="6"/>
  <c r="BD73" i="6"/>
  <c r="BJ76" i="6"/>
  <c r="BE64" i="6"/>
  <c r="AF35" i="6"/>
  <c r="AV34" i="6"/>
  <c r="BF58" i="6"/>
  <c r="AA66" i="6"/>
  <c r="AG48" i="6"/>
  <c r="AQ13" i="6"/>
  <c r="AR24" i="6"/>
  <c r="L16" i="6"/>
  <c r="BI81" i="6"/>
  <c r="AU59" i="6"/>
  <c r="F74" i="6"/>
  <c r="AL25" i="6"/>
  <c r="J22" i="6"/>
  <c r="AU74" i="6"/>
  <c r="AV57" i="6"/>
  <c r="AU72" i="6"/>
  <c r="K33" i="6"/>
  <c r="AF60" i="6"/>
  <c r="T27" i="6"/>
  <c r="AA33" i="6"/>
  <c r="AZ79" i="6"/>
  <c r="AQ71" i="6"/>
  <c r="U39" i="6"/>
  <c r="BI57" i="6"/>
  <c r="Q37" i="6"/>
  <c r="AL43" i="6"/>
  <c r="AF18" i="6"/>
  <c r="H37" i="6"/>
  <c r="BG51" i="6"/>
  <c r="BF57" i="6"/>
  <c r="BH30" i="6"/>
  <c r="AZ40" i="6"/>
  <c r="BE67" i="6"/>
  <c r="AJ25" i="6"/>
  <c r="AA59" i="6"/>
  <c r="H69" i="6"/>
  <c r="AU36" i="6"/>
  <c r="T10" i="6"/>
  <c r="AW75" i="6"/>
  <c r="AZ17" i="6"/>
  <c r="AB45" i="6"/>
  <c r="BH23" i="6"/>
  <c r="AE24" i="6"/>
  <c r="BA60" i="6"/>
  <c r="BD70" i="6"/>
  <c r="AH53" i="6"/>
  <c r="X22" i="6"/>
  <c r="I82" i="6"/>
  <c r="K51" i="6"/>
  <c r="O71" i="6"/>
  <c r="BL55" i="6"/>
  <c r="BB34" i="6"/>
  <c r="AV48" i="6"/>
  <c r="BI78" i="6"/>
  <c r="BE40" i="6"/>
  <c r="BK51" i="6"/>
  <c r="BK82" i="6"/>
  <c r="BC49" i="6"/>
  <c r="Y72" i="6"/>
  <c r="AC42" i="6"/>
  <c r="AG41" i="6"/>
  <c r="BB57" i="6"/>
  <c r="AM11" i="6"/>
  <c r="Z28" i="6"/>
  <c r="P29" i="6"/>
  <c r="S67" i="6"/>
  <c r="X57" i="6"/>
  <c r="BI72" i="6"/>
  <c r="H18" i="6"/>
  <c r="AS75" i="6"/>
  <c r="AO34" i="6"/>
  <c r="N62" i="6"/>
  <c r="T22" i="6"/>
  <c r="T16" i="6"/>
  <c r="AQ62" i="6"/>
  <c r="E30" i="7"/>
  <c r="L72" i="6"/>
  <c r="G23" i="6"/>
  <c r="Q21" i="6"/>
  <c r="AL70" i="6"/>
  <c r="BL82" i="6"/>
  <c r="E47" i="7"/>
  <c r="AL81" i="6"/>
  <c r="BJ14" i="6"/>
  <c r="AC79" i="6"/>
  <c r="AO48" i="6"/>
  <c r="AD26" i="6"/>
  <c r="M77" i="6"/>
  <c r="AY28" i="6"/>
  <c r="BB39" i="6"/>
  <c r="AR49" i="6"/>
  <c r="AP74" i="6"/>
  <c r="AB78" i="6"/>
  <c r="AB31" i="6"/>
  <c r="G48" i="6"/>
  <c r="AE27" i="6"/>
  <c r="AB13" i="6"/>
  <c r="R46" i="6"/>
  <c r="BF11" i="6"/>
  <c r="BB37" i="6"/>
  <c r="AV35" i="6"/>
  <c r="AC12" i="6"/>
  <c r="X66" i="6"/>
  <c r="AF72" i="6"/>
  <c r="V69" i="6"/>
  <c r="BF61" i="6"/>
  <c r="AJ74" i="6"/>
  <c r="J18" i="6"/>
  <c r="BK68" i="6"/>
  <c r="AU52" i="6"/>
  <c r="BD56" i="6"/>
  <c r="AN75" i="6"/>
  <c r="AN10" i="6"/>
  <c r="AW69" i="6"/>
  <c r="K43" i="6"/>
  <c r="AM26" i="6"/>
  <c r="BG32" i="6"/>
  <c r="Z19" i="6"/>
  <c r="T80" i="6"/>
  <c r="I11" i="6"/>
  <c r="AE23" i="6"/>
  <c r="AE14" i="6"/>
  <c r="AZ12" i="6"/>
  <c r="AF81" i="6"/>
  <c r="AA82" i="6"/>
  <c r="BJ68" i="6"/>
  <c r="AA74" i="6"/>
  <c r="J20" i="6"/>
  <c r="Y32" i="6"/>
  <c r="T46" i="6"/>
  <c r="F39" i="6"/>
  <c r="Q18" i="6"/>
  <c r="Z22" i="6"/>
  <c r="AY50" i="6"/>
  <c r="W18" i="6"/>
  <c r="M46" i="6"/>
  <c r="BK77" i="6"/>
  <c r="AK31" i="6"/>
  <c r="AE59" i="6"/>
  <c r="AS26" i="6"/>
  <c r="BI49" i="6"/>
  <c r="V75" i="6"/>
  <c r="V22" i="6"/>
  <c r="AI37" i="6"/>
  <c r="AA81" i="6"/>
  <c r="L58" i="6"/>
  <c r="BJ27" i="6"/>
  <c r="AU46" i="6"/>
  <c r="AJ21" i="6"/>
  <c r="O82" i="6"/>
  <c r="E79" i="6"/>
  <c r="S52" i="6"/>
  <c r="BC46" i="6"/>
  <c r="BE78" i="6"/>
  <c r="E14" i="7"/>
  <c r="P28" i="6"/>
  <c r="BJ29" i="6"/>
  <c r="AG37" i="6"/>
  <c r="S45" i="6"/>
  <c r="AK42" i="6"/>
  <c r="AP48" i="6"/>
  <c r="H11" i="16"/>
  <c r="F17" i="6"/>
  <c r="X32" i="6"/>
  <c r="AX71" i="6"/>
  <c r="AH36" i="6"/>
  <c r="O33" i="6"/>
  <c r="X11" i="6"/>
  <c r="AX39" i="6"/>
  <c r="AH62" i="6"/>
  <c r="AS65" i="6"/>
  <c r="Y36" i="6"/>
  <c r="BA71" i="6"/>
  <c r="I13" i="6"/>
  <c r="X49" i="6"/>
  <c r="AG40" i="6"/>
  <c r="V77" i="6"/>
  <c r="K16" i="6"/>
  <c r="X36" i="6"/>
  <c r="AV72" i="6"/>
  <c r="BE81" i="6"/>
  <c r="V14" i="6"/>
  <c r="M34" i="6"/>
  <c r="Q64" i="6"/>
  <c r="AJ38" i="6"/>
  <c r="T57" i="6"/>
  <c r="W30" i="6"/>
  <c r="AL69" i="6"/>
  <c r="O29" i="6"/>
  <c r="AS77" i="6"/>
  <c r="S40" i="6"/>
  <c r="AA36" i="6"/>
  <c r="BD52" i="6"/>
  <c r="R75" i="6"/>
  <c r="AK36" i="6"/>
  <c r="T21" i="6"/>
  <c r="BF37" i="6"/>
  <c r="AR47" i="6"/>
  <c r="BK50" i="6"/>
  <c r="AF48" i="6"/>
  <c r="BH19" i="6"/>
  <c r="BG14" i="6"/>
  <c r="AX43" i="6"/>
  <c r="R37" i="6"/>
  <c r="L76" i="6"/>
  <c r="AP23" i="6"/>
  <c r="U14" i="6"/>
  <c r="BJ74" i="6"/>
  <c r="BL30" i="6"/>
  <c r="AB54" i="6"/>
  <c r="AC37" i="6"/>
  <c r="W81" i="6"/>
  <c r="U45" i="6"/>
  <c r="BB53" i="6"/>
  <c r="E74" i="6"/>
  <c r="BC48" i="6"/>
  <c r="K12" i="6"/>
  <c r="BG55" i="6"/>
  <c r="AZ62" i="6"/>
  <c r="T47" i="6"/>
  <c r="M40" i="6"/>
  <c r="AW79" i="6"/>
  <c r="BF51" i="6"/>
  <c r="AU56" i="6"/>
  <c r="AG80" i="6"/>
  <c r="BL42" i="6"/>
  <c r="AE50" i="6"/>
  <c r="AX18" i="6"/>
  <c r="AE51" i="6"/>
  <c r="AA28" i="6"/>
  <c r="H80" i="6"/>
  <c r="AT45" i="6"/>
  <c r="P66" i="6"/>
  <c r="O11" i="6"/>
  <c r="N13" i="6"/>
  <c r="AE45" i="6"/>
  <c r="T82" i="6"/>
  <c r="BI15" i="6"/>
  <c r="K46" i="6"/>
  <c r="AB36" i="6"/>
  <c r="AN47" i="6"/>
  <c r="I10" i="6"/>
  <c r="BB25" i="6"/>
  <c r="BH15" i="6"/>
  <c r="AQ44" i="6"/>
  <c r="AJ52" i="6"/>
  <c r="AW15" i="6"/>
  <c r="X31" i="6"/>
  <c r="BB51" i="6"/>
  <c r="K72" i="6"/>
  <c r="AS58" i="6"/>
  <c r="Z24" i="6"/>
  <c r="W70" i="6"/>
  <c r="AN61" i="6"/>
  <c r="F30" i="6"/>
  <c r="AS42" i="6"/>
  <c r="AQ67" i="6"/>
  <c r="AM32" i="6"/>
  <c r="BE76" i="6"/>
  <c r="AO36" i="6"/>
  <c r="G77" i="6"/>
  <c r="AC15" i="6"/>
  <c r="J73" i="6"/>
  <c r="AN42" i="6"/>
  <c r="AD48" i="6"/>
  <c r="AS44" i="6"/>
  <c r="T18" i="6"/>
  <c r="AC52" i="6"/>
  <c r="AJ41" i="6"/>
  <c r="AE48" i="6"/>
  <c r="BC34" i="6"/>
  <c r="BB14" i="6"/>
  <c r="AU78" i="6"/>
  <c r="AQ40" i="6"/>
  <c r="AB38" i="6"/>
  <c r="J65" i="6"/>
  <c r="M51" i="6"/>
  <c r="BF41" i="6"/>
  <c r="AL16" i="6"/>
  <c r="BG17" i="6"/>
  <c r="H12" i="16"/>
  <c r="AR15" i="6"/>
  <c r="E49" i="6"/>
  <c r="AW13" i="6"/>
  <c r="AG63" i="6"/>
  <c r="AX38" i="6"/>
  <c r="BD80" i="6"/>
  <c r="AG18" i="6"/>
  <c r="AA73" i="6"/>
  <c r="BK80" i="6"/>
  <c r="BK38" i="6"/>
  <c r="I58" i="6"/>
  <c r="BH62" i="6"/>
  <c r="H39" i="6"/>
  <c r="G37" i="6"/>
  <c r="V81" i="6"/>
  <c r="BI71" i="6"/>
  <c r="U46" i="6"/>
  <c r="AR29" i="6"/>
  <c r="W12" i="6"/>
  <c r="BI23" i="6"/>
  <c r="AG49" i="6"/>
  <c r="W27" i="6"/>
  <c r="V74" i="6"/>
  <c r="AK10" i="6"/>
  <c r="AH38" i="6"/>
  <c r="BC19" i="6"/>
  <c r="O63" i="6"/>
  <c r="AU50" i="6"/>
  <c r="V70" i="6"/>
  <c r="BB75" i="6"/>
  <c r="AT66" i="6"/>
  <c r="AB61" i="6"/>
  <c r="N22" i="6"/>
  <c r="AZ75" i="6"/>
  <c r="AY52" i="6"/>
  <c r="U37" i="6"/>
  <c r="BH50" i="6"/>
  <c r="BL39" i="6"/>
  <c r="P21" i="6"/>
  <c r="AU80" i="6"/>
  <c r="AQ48" i="6"/>
  <c r="BH52" i="6"/>
  <c r="BE13" i="6"/>
  <c r="AF20" i="6"/>
  <c r="AR38" i="6"/>
  <c r="AL18" i="6"/>
  <c r="AH21" i="6"/>
  <c r="G53" i="6"/>
  <c r="BF46" i="6"/>
  <c r="BF23" i="6"/>
  <c r="AP63" i="6"/>
  <c r="U54" i="6"/>
  <c r="AF43" i="6"/>
  <c r="L77" i="6"/>
  <c r="AQ82" i="6"/>
  <c r="AC31" i="6"/>
  <c r="AP33" i="6"/>
  <c r="E33" i="7"/>
  <c r="AV62" i="6"/>
  <c r="T77" i="6"/>
  <c r="AP32" i="6"/>
  <c r="V61" i="6"/>
  <c r="AO67" i="6"/>
  <c r="AW23" i="6"/>
  <c r="AX79" i="6"/>
  <c r="E77" i="6"/>
  <c r="F37" i="6"/>
  <c r="N43" i="6"/>
  <c r="AJ67" i="6"/>
  <c r="BL60" i="6"/>
  <c r="AU39" i="6"/>
  <c r="AO56" i="6"/>
  <c r="BA25" i="6"/>
  <c r="H25" i="6"/>
  <c r="X33" i="6"/>
  <c r="E22" i="6"/>
  <c r="AP47" i="6"/>
  <c r="L30" i="6"/>
  <c r="BL48" i="6"/>
  <c r="AB75" i="6"/>
  <c r="M50" i="6"/>
  <c r="AS62" i="6"/>
  <c r="G33" i="6"/>
  <c r="AL27" i="6"/>
  <c r="AU20" i="6"/>
  <c r="AR23" i="6"/>
  <c r="BG16" i="6"/>
  <c r="AU38" i="6"/>
  <c r="AW74" i="6"/>
  <c r="AH27" i="6"/>
  <c r="M13" i="6"/>
  <c r="AI32" i="6"/>
  <c r="BL65" i="6"/>
  <c r="BF59" i="6"/>
  <c r="AY38" i="6"/>
  <c r="Y57" i="6"/>
  <c r="AQ38" i="6"/>
  <c r="I25" i="6"/>
  <c r="Y44" i="6"/>
  <c r="K79" i="6"/>
  <c r="AH16" i="6"/>
  <c r="BC52" i="6"/>
  <c r="I81" i="6"/>
  <c r="BG48" i="6"/>
  <c r="AA21" i="6"/>
  <c r="X17" i="6"/>
  <c r="BB63" i="6"/>
  <c r="AX33" i="6"/>
  <c r="L59" i="6"/>
  <c r="AS39" i="6"/>
  <c r="I16" i="6"/>
  <c r="AU22" i="6"/>
  <c r="BK28" i="6"/>
  <c r="AM24" i="6"/>
  <c r="BL80" i="6"/>
  <c r="BK10" i="6"/>
  <c r="T67" i="6"/>
  <c r="AR56" i="6"/>
  <c r="AS46" i="6"/>
  <c r="AY21" i="6"/>
  <c r="U51" i="6"/>
  <c r="U74" i="6"/>
  <c r="G75" i="6"/>
  <c r="AA12" i="6"/>
  <c r="G35" i="6"/>
  <c r="AF71" i="6"/>
  <c r="T56" i="6"/>
  <c r="AA26" i="6"/>
  <c r="AI12" i="6"/>
  <c r="W52" i="6"/>
  <c r="AL68" i="6"/>
  <c r="H20" i="6"/>
  <c r="G65" i="6"/>
  <c r="BE59" i="6"/>
  <c r="Y35" i="6"/>
  <c r="AN36" i="6"/>
  <c r="AG24" i="6"/>
  <c r="AY55" i="6"/>
  <c r="BJ66" i="6"/>
  <c r="N77" i="6"/>
  <c r="K76" i="6"/>
  <c r="BH66" i="6"/>
  <c r="P69" i="6"/>
  <c r="AX28" i="6"/>
  <c r="AL11" i="6"/>
  <c r="J76" i="6"/>
  <c r="AK59" i="6"/>
  <c r="AM80" i="6"/>
  <c r="BC26" i="6"/>
  <c r="F38" i="6"/>
  <c r="L17" i="6"/>
  <c r="BL56" i="6"/>
  <c r="AD49" i="6"/>
  <c r="O12" i="6"/>
  <c r="BE36" i="6"/>
  <c r="BA47" i="6"/>
  <c r="AN77" i="6"/>
  <c r="Q82" i="6"/>
  <c r="AC56" i="6"/>
  <c r="BI29" i="6"/>
  <c r="BA10" i="6"/>
  <c r="N72" i="6"/>
  <c r="O54" i="6"/>
  <c r="AG20" i="6"/>
  <c r="AH13" i="6"/>
  <c r="I53" i="6"/>
  <c r="G78" i="6"/>
  <c r="E16" i="7"/>
  <c r="I22" i="6"/>
  <c r="AM41" i="6"/>
  <c r="L82" i="6"/>
  <c r="E20" i="6"/>
  <c r="BJ37" i="6"/>
  <c r="AD16" i="6"/>
  <c r="V25" i="6"/>
  <c r="M38" i="6"/>
  <c r="F16" i="6"/>
  <c r="G11" i="6"/>
  <c r="AB37" i="6"/>
  <c r="K65" i="6"/>
  <c r="AT12" i="6"/>
  <c r="AG26" i="6"/>
  <c r="AH55" i="6"/>
  <c r="E34" i="6"/>
  <c r="Y51" i="6"/>
  <c r="AO62" i="6"/>
  <c r="AS82" i="6"/>
  <c r="AG46" i="6"/>
  <c r="AU47" i="6"/>
  <c r="BJ43" i="6"/>
  <c r="BH42" i="6"/>
  <c r="AP26" i="6"/>
  <c r="BC21" i="6"/>
  <c r="BD76" i="6"/>
  <c r="AR71" i="6"/>
  <c r="AC16" i="6"/>
  <c r="AA16" i="6"/>
  <c r="AP72" i="6"/>
  <c r="V18" i="6"/>
  <c r="BF64" i="6"/>
  <c r="BL36" i="6"/>
  <c r="BH12" i="6"/>
  <c r="G62" i="6"/>
  <c r="BA63" i="6"/>
  <c r="AA52" i="6"/>
  <c r="AJ44" i="6"/>
  <c r="AO41" i="6"/>
  <c r="W41" i="6"/>
  <c r="AC54" i="6"/>
  <c r="T34" i="6"/>
  <c r="O44" i="6"/>
  <c r="AM74" i="6"/>
  <c r="AO16" i="6"/>
  <c r="BD49" i="6"/>
  <c r="AD75" i="6"/>
  <c r="AL13" i="6"/>
  <c r="AI10" i="6"/>
  <c r="Z32" i="6"/>
  <c r="W62" i="6"/>
  <c r="AK24" i="6"/>
  <c r="V36" i="6"/>
  <c r="AM46" i="6"/>
  <c r="N27" i="6"/>
  <c r="AW12" i="6"/>
  <c r="N55" i="6"/>
  <c r="E29" i="6"/>
  <c r="AX27" i="6"/>
  <c r="AJ59" i="6"/>
  <c r="H72" i="6"/>
  <c r="AF45" i="6"/>
  <c r="E17" i="7"/>
  <c r="V51" i="6"/>
  <c r="M12" i="6"/>
  <c r="P39" i="6"/>
  <c r="G19" i="6"/>
  <c r="BG58" i="6"/>
  <c r="T36" i="6"/>
  <c r="AD31" i="6"/>
  <c r="AQ15" i="6"/>
  <c r="O42" i="6"/>
  <c r="AM64" i="6"/>
  <c r="Y65" i="6"/>
  <c r="AY24" i="6"/>
  <c r="AE33" i="6"/>
  <c r="AE67" i="6"/>
  <c r="I40" i="6"/>
  <c r="V34" i="6"/>
  <c r="H55" i="6"/>
  <c r="BH37" i="6"/>
  <c r="AH44" i="6"/>
  <c r="AE72" i="6"/>
  <c r="AK14" i="6"/>
  <c r="I33" i="6"/>
  <c r="F56" i="6"/>
  <c r="R72" i="6"/>
  <c r="AD12" i="6"/>
  <c r="AU41" i="6"/>
  <c r="E11" i="7"/>
  <c r="K53" i="6"/>
  <c r="F64" i="6"/>
  <c r="V21" i="6"/>
  <c r="H43" i="6"/>
  <c r="S66" i="6"/>
  <c r="AW29" i="6"/>
  <c r="AU75" i="6"/>
  <c r="I41" i="6"/>
  <c r="AN34" i="6"/>
  <c r="L46" i="6"/>
  <c r="BG65" i="6"/>
  <c r="AK19" i="6"/>
  <c r="H57" i="6"/>
  <c r="AO15" i="6"/>
  <c r="P59" i="6"/>
  <c r="G56" i="6"/>
  <c r="BH65" i="6"/>
  <c r="BA15" i="6"/>
  <c r="X82" i="6"/>
  <c r="BI64" i="6"/>
  <c r="AL58" i="6"/>
  <c r="E11" i="6"/>
  <c r="AY54" i="6"/>
  <c r="I56" i="6"/>
  <c r="E31" i="6"/>
  <c r="AV53" i="6"/>
  <c r="J45" i="6"/>
  <c r="AS18" i="6"/>
  <c r="AZ36" i="6"/>
  <c r="AA23" i="6"/>
  <c r="AI69" i="6"/>
  <c r="AA18" i="6"/>
  <c r="BI41" i="6"/>
  <c r="AU58" i="6"/>
  <c r="AU33" i="6"/>
  <c r="X53" i="6"/>
  <c r="Q77" i="6"/>
  <c r="AR17" i="6"/>
  <c r="BE25" i="6"/>
  <c r="AS12" i="6"/>
  <c r="AV43" i="6"/>
  <c r="AW30" i="6"/>
  <c r="AR20" i="6"/>
  <c r="AW55" i="6"/>
  <c r="AE13" i="6"/>
  <c r="BK33" i="6"/>
  <c r="M43" i="6"/>
  <c r="U79" i="6"/>
  <c r="F47" i="6"/>
  <c r="E81" i="6"/>
  <c r="AK75" i="6"/>
  <c r="P61" i="6"/>
  <c r="AR22" i="6"/>
  <c r="AS35" i="6"/>
  <c r="AA35" i="6"/>
  <c r="BI45" i="6"/>
  <c r="AP42" i="6"/>
  <c r="AL32" i="6"/>
  <c r="X62" i="6"/>
  <c r="BA46" i="6"/>
  <c r="N21" i="6"/>
  <c r="U81" i="6"/>
  <c r="AB35" i="6"/>
  <c r="AG45" i="6"/>
  <c r="AR69" i="6"/>
  <c r="AP41" i="6"/>
  <c r="H19" i="6"/>
  <c r="X76" i="6"/>
  <c r="N10" i="6"/>
  <c r="J57" i="6"/>
  <c r="AV14" i="6"/>
  <c r="AC81" i="6"/>
  <c r="M27" i="6"/>
  <c r="V19" i="6"/>
  <c r="V65" i="6"/>
  <c r="AQ65" i="6"/>
  <c r="AW24" i="6"/>
  <c r="BA68" i="6"/>
  <c r="BL43" i="6"/>
  <c r="BL38" i="6"/>
  <c r="AZ14" i="6"/>
  <c r="AE38" i="6"/>
  <c r="L29" i="6"/>
  <c r="BA48" i="6"/>
  <c r="AB25" i="6"/>
  <c r="AX16" i="6"/>
  <c r="BL25" i="6"/>
  <c r="AC44" i="6"/>
  <c r="E24" i="6"/>
  <c r="AL44" i="6"/>
  <c r="BL45" i="6"/>
  <c r="BH60" i="6"/>
  <c r="AK45" i="6"/>
  <c r="X54" i="6"/>
  <c r="AZ58" i="6"/>
  <c r="AV52" i="6"/>
  <c r="R80" i="6"/>
  <c r="BH28" i="6"/>
  <c r="BK34" i="6"/>
  <c r="AD30" i="6"/>
  <c r="AI13" i="6"/>
  <c r="AM45" i="6"/>
  <c r="P68" i="6"/>
  <c r="BA13" i="6"/>
  <c r="AS11" i="6"/>
  <c r="AH15" i="6"/>
  <c r="AF14" i="6"/>
  <c r="F42" i="6"/>
  <c r="BE58" i="6"/>
  <c r="AT22" i="6"/>
  <c r="AD61" i="6"/>
  <c r="Z61" i="6"/>
  <c r="I52" i="6"/>
  <c r="V53" i="6"/>
  <c r="F72" i="6"/>
  <c r="R27" i="6"/>
  <c r="G12" i="6"/>
  <c r="BB46" i="6"/>
  <c r="H82" i="6"/>
  <c r="AH41" i="6"/>
  <c r="AJ15" i="6"/>
  <c r="AJ51" i="6"/>
  <c r="V76" i="6"/>
  <c r="AK51" i="6"/>
  <c r="M53" i="6"/>
  <c r="AE22" i="6"/>
  <c r="BG23" i="6"/>
  <c r="AQ54" i="6"/>
  <c r="P19" i="6"/>
  <c r="S64" i="6"/>
  <c r="AU70" i="6"/>
  <c r="P13" i="6"/>
  <c r="S68" i="6"/>
  <c r="S26" i="6"/>
  <c r="AV73" i="6"/>
  <c r="AV64" i="6"/>
  <c r="BA70" i="6"/>
  <c r="AV71" i="6"/>
  <c r="K69" i="6"/>
  <c r="AF11" i="6"/>
  <c r="J41" i="6"/>
  <c r="BI33" i="6"/>
  <c r="AS13" i="6"/>
  <c r="O68" i="6"/>
  <c r="AW51" i="6"/>
  <c r="AJ37" i="6"/>
  <c r="O58" i="6"/>
  <c r="N49" i="6"/>
  <c r="BJ53" i="6"/>
  <c r="BK61" i="6"/>
  <c r="AD23" i="6"/>
  <c r="Z39" i="6"/>
  <c r="AG17" i="6"/>
  <c r="Y47" i="6"/>
  <c r="AY17" i="6"/>
  <c r="AU18" i="6"/>
  <c r="AQ34" i="6"/>
  <c r="AB46" i="6"/>
  <c r="AY70" i="6"/>
  <c r="AG27" i="6"/>
  <c r="AP40" i="6"/>
  <c r="BL15" i="6"/>
  <c r="AN20" i="6"/>
  <c r="J10" i="6"/>
  <c r="O34" i="6"/>
  <c r="BK70" i="6"/>
  <c r="Z38" i="6"/>
  <c r="S42" i="6"/>
  <c r="N23" i="6"/>
  <c r="BE42" i="6"/>
  <c r="AV30" i="6"/>
  <c r="X14" i="6"/>
  <c r="AB34" i="6"/>
  <c r="H33" i="6"/>
  <c r="AT41" i="6"/>
  <c r="AY74" i="6"/>
  <c r="T75" i="6"/>
  <c r="AY60" i="6"/>
  <c r="U44" i="6"/>
  <c r="G13" i="6"/>
  <c r="L42" i="6"/>
  <c r="V50" i="6"/>
  <c r="AP20" i="6"/>
  <c r="AI75" i="6"/>
  <c r="BA27" i="6"/>
  <c r="BD67" i="6"/>
  <c r="BA50" i="6"/>
  <c r="AC58" i="6"/>
  <c r="Z69" i="6"/>
  <c r="AL36" i="6"/>
  <c r="AC63" i="6"/>
  <c r="AA13" i="6"/>
  <c r="AI50" i="6"/>
  <c r="AZ19" i="6"/>
  <c r="E13" i="6"/>
  <c r="S51" i="6"/>
  <c r="BB61" i="6"/>
  <c r="AD78" i="6"/>
  <c r="H52" i="6"/>
  <c r="F57" i="6"/>
  <c r="AT69" i="6"/>
  <c r="AB74" i="6"/>
  <c r="W54" i="6"/>
  <c r="BC27" i="6"/>
  <c r="AY81" i="6"/>
  <c r="BK22" i="6"/>
  <c r="AL77" i="6"/>
  <c r="AH26" i="6"/>
  <c r="Z36" i="6"/>
  <c r="AI11" i="6"/>
  <c r="M74" i="6"/>
  <c r="BH32" i="6"/>
  <c r="L39" i="6"/>
  <c r="BI13" i="6"/>
  <c r="BD45" i="6"/>
  <c r="AB55" i="6"/>
  <c r="L12" i="6"/>
  <c r="AA60" i="6"/>
  <c r="AQ77" i="6"/>
  <c r="I69" i="6"/>
  <c r="AU26" i="6"/>
  <c r="BJ58" i="6"/>
  <c r="Y10" i="6"/>
  <c r="AQ33" i="6"/>
  <c r="AE71" i="6"/>
  <c r="BA30" i="6"/>
  <c r="AY15" i="6"/>
  <c r="AJ62" i="6"/>
  <c r="AG52" i="6"/>
  <c r="AM20" i="6"/>
  <c r="BD16" i="6"/>
  <c r="AN68" i="6"/>
  <c r="J12" i="6"/>
  <c r="K36" i="6"/>
  <c r="BE49" i="6"/>
  <c r="AG59" i="6"/>
  <c r="BA55" i="6"/>
  <c r="BF33" i="6"/>
  <c r="H38" i="6"/>
  <c r="BD41" i="6"/>
  <c r="AH70" i="6"/>
  <c r="BH64" i="6"/>
  <c r="AE37" i="6"/>
  <c r="BE43" i="6"/>
  <c r="AC47" i="6"/>
  <c r="BA18" i="6"/>
  <c r="AD55" i="6"/>
  <c r="AZ24" i="6"/>
  <c r="BG59" i="6"/>
  <c r="I48" i="6"/>
  <c r="AE43" i="6"/>
  <c r="E27" i="6"/>
  <c r="BD42" i="6"/>
  <c r="AX52" i="6"/>
  <c r="S57" i="6"/>
  <c r="E45" i="6"/>
  <c r="AW16" i="6"/>
  <c r="BK43" i="6"/>
  <c r="Y19" i="6"/>
  <c r="AT59" i="6"/>
  <c r="AH75" i="6"/>
  <c r="AR72" i="6"/>
  <c r="AZ50" i="6"/>
  <c r="BE50" i="6"/>
  <c r="AQ74" i="6"/>
  <c r="AX44" i="6"/>
  <c r="AC18" i="6"/>
  <c r="BC72" i="6"/>
  <c r="AW56" i="6"/>
  <c r="BD66" i="6"/>
  <c r="O18" i="6"/>
  <c r="E18" i="7"/>
  <c r="AS25" i="6"/>
  <c r="AB66" i="6"/>
  <c r="T63" i="6"/>
  <c r="V17" i="6"/>
  <c r="BF47" i="6"/>
  <c r="BC50" i="6"/>
  <c r="N58" i="6"/>
  <c r="AR36" i="6"/>
  <c r="BG34" i="6"/>
  <c r="E64" i="6"/>
  <c r="AA27" i="6"/>
  <c r="AW73" i="6"/>
  <c r="AY25" i="6"/>
  <c r="AK79" i="6"/>
  <c r="Y29" i="6"/>
  <c r="AR19" i="6"/>
  <c r="AW40" i="6"/>
  <c r="AL49" i="6"/>
  <c r="BF81" i="6"/>
  <c r="J34" i="6"/>
  <c r="AX75" i="6"/>
  <c r="E23" i="6"/>
  <c r="P45" i="6"/>
  <c r="AI48" i="6"/>
  <c r="BL75" i="6"/>
  <c r="J24" i="6"/>
  <c r="T51" i="6"/>
  <c r="AZ53" i="6"/>
  <c r="AH48" i="6"/>
  <c r="AA57" i="6"/>
  <c r="AD64" i="6"/>
  <c r="BI47" i="6"/>
  <c r="AJ69" i="6"/>
  <c r="L40" i="6"/>
  <c r="H65" i="6"/>
  <c r="O24" i="6"/>
  <c r="AB33" i="6"/>
  <c r="AX22" i="6"/>
  <c r="AJ58" i="6"/>
  <c r="AT39" i="6"/>
  <c r="BH78" i="6"/>
  <c r="BL81" i="6"/>
  <c r="Z71" i="6"/>
  <c r="AV25" i="6"/>
  <c r="AE25" i="6"/>
  <c r="AN11" i="6"/>
  <c r="AI19" i="6"/>
  <c r="BF43" i="6"/>
  <c r="AD22" i="6"/>
  <c r="Y69" i="6"/>
  <c r="AJ13" i="6"/>
  <c r="BD15" i="6"/>
  <c r="BD34" i="6"/>
  <c r="N47" i="6"/>
  <c r="BE48" i="6"/>
  <c r="K48" i="6"/>
  <c r="J82" i="6"/>
  <c r="AT67" i="6"/>
  <c r="BE62" i="6"/>
  <c r="AW54" i="6"/>
  <c r="AK26" i="6"/>
  <c r="AL63" i="6"/>
  <c r="AO10" i="6"/>
  <c r="AH72" i="6"/>
  <c r="AQ70" i="6"/>
  <c r="Q53" i="6"/>
  <c r="K81" i="6"/>
  <c r="AK23" i="6"/>
  <c r="K82" i="6"/>
  <c r="E57" i="6"/>
  <c r="N31" i="6"/>
  <c r="BA14" i="6"/>
  <c r="BJ25" i="6"/>
  <c r="F75" i="6"/>
  <c r="L80" i="6"/>
  <c r="AL51" i="6"/>
  <c r="U21" i="6"/>
  <c r="AV10" i="6"/>
  <c r="BL50" i="6"/>
  <c r="AV31" i="6"/>
  <c r="Y55" i="6"/>
  <c r="T72" i="6"/>
  <c r="K60" i="6"/>
  <c r="BD25" i="6"/>
  <c r="AA54" i="6"/>
  <c r="R40" i="6"/>
  <c r="BB26" i="6"/>
  <c r="R68" i="6"/>
  <c r="AM62" i="6"/>
  <c r="AP71" i="6"/>
  <c r="Q30" i="6"/>
  <c r="AW71" i="6"/>
  <c r="BG13" i="6"/>
  <c r="BF16" i="6"/>
  <c r="BA20" i="6"/>
  <c r="N59" i="6"/>
  <c r="AQ42" i="6"/>
  <c r="BC13" i="6"/>
  <c r="I75" i="6"/>
  <c r="AA30" i="6"/>
  <c r="AK68" i="6"/>
  <c r="AG60" i="6"/>
  <c r="Y79" i="6"/>
  <c r="AM60" i="6"/>
  <c r="AU76" i="6"/>
  <c r="BG45" i="6"/>
  <c r="AH42" i="6"/>
  <c r="Q68" i="6"/>
  <c r="AA53" i="6"/>
  <c r="W44" i="6"/>
  <c r="T78" i="6"/>
  <c r="BC29" i="6"/>
  <c r="BG47" i="6"/>
  <c r="BA29" i="6"/>
  <c r="Q19" i="6"/>
  <c r="BB74" i="6"/>
  <c r="AZ27" i="6"/>
  <c r="BJ62" i="6"/>
  <c r="AE54" i="6"/>
  <c r="BB77" i="6"/>
  <c r="J58" i="6"/>
  <c r="BJ64" i="6"/>
  <c r="AQ11" i="6"/>
  <c r="Q41" i="6"/>
  <c r="AD38" i="6"/>
  <c r="AA44" i="6"/>
  <c r="AD25" i="6"/>
  <c r="O74" i="6"/>
  <c r="I74" i="6"/>
  <c r="BE66" i="6"/>
  <c r="N19" i="6"/>
  <c r="AO46" i="6"/>
  <c r="M25" i="6"/>
  <c r="O28" i="6"/>
  <c r="AC32" i="6"/>
  <c r="L22" i="6"/>
  <c r="I29" i="6"/>
  <c r="BE46" i="6"/>
  <c r="AY57" i="6"/>
  <c r="BH63" i="6"/>
  <c r="M82" i="6"/>
  <c r="F48" i="6"/>
  <c r="K34" i="6"/>
  <c r="BB31" i="6"/>
  <c r="J64" i="6"/>
  <c r="BA31" i="6"/>
  <c r="F62" i="6"/>
  <c r="L26" i="6"/>
  <c r="AG16" i="6"/>
  <c r="Q48" i="6"/>
  <c r="AE66" i="6"/>
  <c r="L68" i="6"/>
  <c r="BI61" i="6"/>
  <c r="E60" i="6"/>
  <c r="AD24" i="6"/>
  <c r="S14" i="6"/>
  <c r="BJ65" i="6"/>
  <c r="AG23" i="6"/>
  <c r="AX40" i="6"/>
  <c r="AI77" i="6"/>
  <c r="BK36" i="6"/>
  <c r="AD20" i="6"/>
  <c r="BE71" i="6"/>
  <c r="AZ13" i="6"/>
  <c r="O26" i="6"/>
  <c r="AB65" i="6"/>
  <c r="BD40" i="6"/>
  <c r="O15" i="6"/>
  <c r="BA76" i="6"/>
  <c r="AL66" i="6"/>
  <c r="F82" i="6"/>
  <c r="AM13" i="6"/>
  <c r="H30" i="6"/>
  <c r="AN40" i="6"/>
  <c r="Y24" i="6"/>
  <c r="AS27" i="6"/>
  <c r="AT29" i="6"/>
  <c r="BF76" i="6"/>
  <c r="F14" i="6"/>
  <c r="M22" i="6"/>
  <c r="AT43" i="6"/>
  <c r="V52" i="6"/>
  <c r="AG73" i="6"/>
  <c r="Q15" i="6"/>
  <c r="BD46" i="6"/>
  <c r="AI73" i="6"/>
  <c r="F35" i="6"/>
  <c r="BB73" i="6"/>
  <c r="AO57" i="6"/>
  <c r="AE18" i="6"/>
  <c r="X69" i="6"/>
  <c r="BD48" i="6"/>
  <c r="N53" i="6"/>
  <c r="E29" i="7"/>
  <c r="AN12" i="6"/>
  <c r="BJ78" i="6"/>
  <c r="AS80" i="6"/>
  <c r="AD62" i="6"/>
  <c r="AK55" i="6"/>
  <c r="V58" i="6"/>
  <c r="L14" i="6"/>
  <c r="AH74" i="6"/>
  <c r="P75" i="6"/>
  <c r="Q60" i="6"/>
  <c r="U47" i="6"/>
  <c r="T65" i="6"/>
  <c r="AB42" i="6"/>
  <c r="X23" i="6"/>
  <c r="AU82" i="6"/>
  <c r="BE12" i="6"/>
  <c r="AL54" i="6"/>
  <c r="AC10" i="6"/>
  <c r="T61" i="6"/>
  <c r="T74" i="6"/>
  <c r="AE32" i="6"/>
  <c r="S49" i="6"/>
  <c r="BC37" i="6"/>
  <c r="AO45" i="6"/>
  <c r="G38" i="6"/>
  <c r="W78" i="6"/>
  <c r="AZ46" i="6"/>
  <c r="AA46" i="6"/>
  <c r="X19" i="6"/>
  <c r="J54" i="6"/>
  <c r="AX66" i="6"/>
  <c r="AZ51" i="6"/>
  <c r="AT34" i="6"/>
  <c r="BD50" i="6"/>
  <c r="BK16" i="6"/>
  <c r="L50" i="6"/>
  <c r="AX24" i="6"/>
  <c r="AH56" i="6"/>
  <c r="BH47" i="6"/>
  <c r="AB50" i="6"/>
  <c r="N15" i="6"/>
  <c r="BE47" i="6"/>
  <c r="AQ28" i="6"/>
  <c r="AZ26" i="6"/>
  <c r="BE29" i="6"/>
  <c r="S61" i="6"/>
  <c r="AB24" i="6"/>
  <c r="AY10" i="6"/>
  <c r="T58" i="6"/>
  <c r="AO44" i="6"/>
  <c r="AA17" i="6"/>
  <c r="E78" i="6"/>
  <c r="BI34" i="6"/>
  <c r="Z67" i="6"/>
  <c r="AF26" i="6"/>
  <c r="BH68" i="6"/>
  <c r="AS66" i="6"/>
  <c r="AG25" i="6"/>
  <c r="AW68" i="6"/>
  <c r="BL13" i="6"/>
  <c r="AL79" i="6"/>
  <c r="BE70" i="6"/>
  <c r="AL33" i="6"/>
  <c r="AB80" i="6"/>
  <c r="BK65" i="6"/>
  <c r="J40" i="6"/>
  <c r="AK13" i="6"/>
  <c r="E27" i="7"/>
  <c r="O60" i="6"/>
  <c r="AN79" i="6"/>
  <c r="AO21" i="6"/>
  <c r="AB44" i="6"/>
  <c r="AY35" i="6"/>
  <c r="BF30" i="6"/>
  <c r="BD81" i="6"/>
  <c r="AW82" i="6"/>
  <c r="AM50" i="6"/>
  <c r="BE28" i="6"/>
  <c r="AY75" i="6"/>
  <c r="AX45" i="6"/>
  <c r="BK42" i="6"/>
  <c r="AT27" i="6"/>
  <c r="BC31" i="6"/>
  <c r="BB54" i="6"/>
  <c r="AB81" i="6"/>
  <c r="AH63" i="6"/>
  <c r="BI20" i="6"/>
  <c r="BD71" i="6"/>
  <c r="H49" i="6"/>
  <c r="K40" i="6"/>
  <c r="K39" i="6"/>
  <c r="E40" i="6"/>
  <c r="O36" i="6"/>
  <c r="BD82" i="6"/>
  <c r="BK47" i="6"/>
  <c r="J53" i="6"/>
  <c r="BA35" i="6"/>
  <c r="I51" i="6"/>
  <c r="AR27" i="6"/>
  <c r="V49" i="6"/>
  <c r="AC64" i="6"/>
  <c r="AI65" i="6"/>
  <c r="BA11" i="6"/>
  <c r="BL23" i="6"/>
  <c r="U67" i="6"/>
  <c r="AT15" i="6"/>
  <c r="F40" i="6"/>
  <c r="W67" i="6"/>
  <c r="AO43" i="6"/>
  <c r="BF20" i="6"/>
  <c r="BG53" i="6"/>
  <c r="E56" i="6"/>
  <c r="O80" i="6"/>
  <c r="I37" i="6"/>
  <c r="AP16" i="6"/>
  <c r="E15" i="7"/>
  <c r="BF53" i="6"/>
  <c r="F13" i="6"/>
  <c r="BB66" i="6"/>
  <c r="X46" i="6"/>
  <c r="H71" i="6"/>
  <c r="L70" i="6"/>
  <c r="J21" i="6"/>
  <c r="BG74" i="6"/>
  <c r="AL80" i="6"/>
  <c r="F55" i="6"/>
  <c r="AN62" i="6"/>
  <c r="BJ42" i="6"/>
  <c r="AL61" i="6"/>
  <c r="AP82" i="6"/>
  <c r="AZ15" i="6"/>
  <c r="AY33" i="6"/>
  <c r="AZ43" i="6"/>
  <c r="AC33" i="6"/>
  <c r="T12" i="6"/>
  <c r="AK56" i="6"/>
  <c r="BA53" i="6"/>
  <c r="AK78" i="6"/>
  <c r="AX42" i="6"/>
  <c r="AO68" i="6"/>
  <c r="BL74" i="6"/>
  <c r="AD34" i="6"/>
  <c r="BB72" i="6"/>
  <c r="Q55" i="6"/>
  <c r="AB71" i="6"/>
  <c r="BD28" i="6"/>
  <c r="H48" i="6"/>
  <c r="AG33" i="6"/>
  <c r="H70" i="6"/>
  <c r="BA64" i="6"/>
  <c r="AZ35" i="6"/>
  <c r="AN17" i="6"/>
  <c r="E48" i="6"/>
  <c r="AN73" i="6"/>
  <c r="AB10" i="6"/>
  <c r="AL71" i="6"/>
  <c r="T45" i="6"/>
  <c r="R51" i="6"/>
  <c r="AY36" i="6"/>
  <c r="BL67" i="6"/>
  <c r="BK24" i="6"/>
  <c r="K38" i="6"/>
  <c r="AF21" i="6"/>
  <c r="BK27" i="6"/>
  <c r="AM77" i="6"/>
  <c r="G79" i="6"/>
  <c r="AF80" i="6"/>
  <c r="AR37" i="6"/>
  <c r="G31" i="8"/>
  <c r="BC18" i="6"/>
  <c r="AG64" i="6"/>
  <c r="U50" i="6"/>
  <c r="BE68" i="6"/>
  <c r="X51" i="6"/>
  <c r="X71" i="6"/>
  <c r="X29" i="6"/>
  <c r="K20" i="6"/>
  <c r="AV23" i="6"/>
  <c r="K47" i="6"/>
  <c r="BB41" i="6"/>
  <c r="R14" i="6"/>
  <c r="BH55" i="6"/>
  <c r="I35" i="6"/>
  <c r="Q26" i="6"/>
  <c r="K67" i="6"/>
  <c r="AN24" i="6"/>
  <c r="E19" i="6"/>
  <c r="Z21" i="6"/>
  <c r="T23" i="6"/>
  <c r="AS76" i="6"/>
  <c r="E67" i="6"/>
  <c r="V20" i="6"/>
  <c r="P37" i="6"/>
  <c r="S77" i="6"/>
  <c r="BK52" i="6"/>
  <c r="S20" i="6"/>
  <c r="Y12" i="6"/>
  <c r="AD53" i="6"/>
  <c r="AG61" i="6"/>
  <c r="AX63" i="6"/>
  <c r="BC15" i="6"/>
  <c r="BI14" i="6"/>
  <c r="AC40" i="6"/>
  <c r="AV27" i="6"/>
  <c r="BI21" i="6"/>
  <c r="AM49" i="6"/>
  <c r="AY76" i="6"/>
  <c r="AI16" i="6"/>
  <c r="BA79" i="6"/>
  <c r="F63" i="6"/>
  <c r="R35" i="6"/>
  <c r="Z27" i="6"/>
  <c r="AX34" i="6"/>
  <c r="L45" i="6"/>
  <c r="AW10" i="6"/>
  <c r="AW65" i="6"/>
  <c r="BA40" i="6"/>
  <c r="BK72" i="6"/>
  <c r="Z20" i="6"/>
  <c r="P25" i="6"/>
  <c r="AS67" i="6"/>
  <c r="BL27" i="6"/>
  <c r="AF63" i="6"/>
  <c r="AO69" i="6"/>
  <c r="S72" i="6"/>
  <c r="F61" i="6"/>
  <c r="Q42" i="6"/>
  <c r="R54" i="6"/>
  <c r="Q59" i="6"/>
  <c r="T49" i="6"/>
  <c r="BG64" i="6"/>
  <c r="AY39" i="6"/>
  <c r="AB23" i="6"/>
  <c r="AX53" i="6"/>
  <c r="R45" i="6"/>
  <c r="AX55" i="6"/>
  <c r="S35" i="6"/>
  <c r="S37" i="6"/>
  <c r="AZ23" i="6"/>
  <c r="AT16" i="6"/>
  <c r="BB35" i="6"/>
  <c r="AR79" i="6"/>
  <c r="F41" i="6"/>
  <c r="BH41" i="6"/>
  <c r="AK74" i="6"/>
  <c r="AM68" i="6"/>
  <c r="AL35" i="6"/>
  <c r="S75" i="6"/>
  <c r="BD77" i="6"/>
  <c r="R32" i="6"/>
  <c r="BG20" i="6"/>
  <c r="K25" i="6"/>
  <c r="AU23" i="6"/>
  <c r="H24" i="6"/>
  <c r="AB40" i="6"/>
  <c r="BJ55" i="6"/>
  <c r="Y20" i="6"/>
  <c r="BH48" i="6"/>
  <c r="K42" i="6"/>
  <c r="BK59" i="6"/>
  <c r="AZ49" i="6"/>
  <c r="T15" i="6"/>
  <c r="H29" i="6"/>
  <c r="AO79" i="6"/>
  <c r="AE26" i="6"/>
  <c r="U27" i="6"/>
  <c r="P34" i="6"/>
  <c r="AX77" i="6"/>
  <c r="AZ11" i="6"/>
  <c r="F77" i="6"/>
  <c r="U41" i="6"/>
  <c r="AR70" i="6"/>
  <c r="AE34" i="6"/>
  <c r="AA39" i="6"/>
  <c r="AO31" i="6"/>
  <c r="L78" i="6"/>
  <c r="BB17" i="6"/>
  <c r="M14" i="6"/>
  <c r="AP45" i="6"/>
  <c r="V79" i="6"/>
  <c r="G34" i="6"/>
  <c r="AR42" i="6"/>
  <c r="AE40" i="6"/>
  <c r="BF48" i="6"/>
  <c r="BA44" i="6"/>
  <c r="R48" i="6"/>
  <c r="AC57" i="6"/>
  <c r="U57" i="6"/>
  <c r="BK64" i="6"/>
  <c r="AP65" i="6"/>
  <c r="AU28" i="6"/>
  <c r="BH39" i="6"/>
  <c r="BC36" i="6"/>
  <c r="BA72" i="6"/>
  <c r="BE65" i="6"/>
  <c r="N63" i="6"/>
  <c r="AI51" i="6"/>
  <c r="AH59" i="6"/>
  <c r="P35" i="6"/>
  <c r="AD46" i="6"/>
  <c r="E12" i="7"/>
  <c r="AA34" i="6"/>
  <c r="AW47" i="6"/>
  <c r="AM61" i="6"/>
  <c r="AJ63" i="6"/>
  <c r="F73" i="6"/>
  <c r="M33" i="6"/>
  <c r="AA64" i="6"/>
  <c r="AF73" i="6"/>
  <c r="S36" i="6"/>
  <c r="R29" i="6"/>
  <c r="Z13" i="6"/>
  <c r="AM58" i="6"/>
  <c r="AG28" i="6"/>
  <c r="AB30" i="6"/>
  <c r="AT17" i="6"/>
  <c r="F24" i="6"/>
  <c r="BB70" i="6"/>
  <c r="AU13" i="6"/>
  <c r="AF77" i="6"/>
  <c r="BI58" i="6"/>
  <c r="BF54" i="6"/>
  <c r="G39" i="6"/>
  <c r="AG62" i="6"/>
  <c r="BK30" i="6"/>
  <c r="S24" i="6"/>
  <c r="AP49" i="6"/>
  <c r="AF33" i="6"/>
  <c r="AX29" i="6"/>
  <c r="BL58" i="6"/>
  <c r="BH20" i="6"/>
  <c r="BD20" i="6"/>
  <c r="AT37" i="6"/>
  <c r="AY66" i="6"/>
  <c r="U26" i="6"/>
  <c r="AF62" i="6"/>
  <c r="BF42" i="6"/>
  <c r="AG70" i="6"/>
  <c r="E38" i="7"/>
  <c r="AD82" i="6"/>
  <c r="AO25" i="6"/>
  <c r="X21" i="6"/>
  <c r="BG41" i="6"/>
  <c r="AY42" i="6"/>
  <c r="BI43" i="6"/>
  <c r="U38" i="6"/>
  <c r="AB64" i="6"/>
  <c r="AO20" i="6"/>
  <c r="AA38" i="6"/>
  <c r="AL41" i="6"/>
  <c r="AD36" i="6"/>
  <c r="G45" i="6"/>
  <c r="T43" i="6"/>
  <c r="BH72" i="6"/>
  <c r="AP12" i="6"/>
  <c r="AW61" i="6"/>
  <c r="AX58" i="6"/>
  <c r="AT10" i="6"/>
  <c r="U35" i="6"/>
  <c r="BE31" i="6"/>
  <c r="S15" i="6"/>
  <c r="AG69" i="6"/>
  <c r="H61" i="6"/>
  <c r="AO51" i="6"/>
  <c r="AU44" i="6"/>
  <c r="E59" i="6"/>
  <c r="BG35" i="6"/>
  <c r="U52" i="6"/>
  <c r="T42" i="6"/>
  <c r="K58" i="6"/>
  <c r="AG79" i="6"/>
  <c r="AF27" i="6"/>
  <c r="AM29" i="6"/>
  <c r="Z62" i="6"/>
  <c r="J78" i="6"/>
  <c r="Q66" i="6"/>
  <c r="AV67" i="6"/>
  <c r="U43" i="6"/>
  <c r="BH70" i="6"/>
  <c r="BF71" i="6"/>
  <c r="AU31" i="6"/>
  <c r="AU16" i="6"/>
  <c r="AU49" i="6"/>
  <c r="AZ77" i="6"/>
  <c r="AB29" i="6"/>
  <c r="AV56" i="6"/>
  <c r="AI53" i="6"/>
  <c r="AL20" i="6"/>
  <c r="AU21" i="6"/>
  <c r="BB45" i="6"/>
  <c r="BK13" i="6"/>
  <c r="F76" i="6"/>
  <c r="M67" i="6"/>
  <c r="AC14" i="6"/>
  <c r="X44" i="6"/>
  <c r="P67" i="6"/>
  <c r="BF18" i="6"/>
  <c r="E37" i="7"/>
  <c r="AD47" i="6"/>
  <c r="X30" i="6"/>
  <c r="BC30" i="6"/>
  <c r="AH46" i="6"/>
  <c r="BB62" i="6"/>
  <c r="V40" i="6"/>
  <c r="J36" i="6"/>
  <c r="AP10" i="6"/>
  <c r="P62" i="6"/>
  <c r="AE80" i="6"/>
  <c r="R60" i="6"/>
  <c r="AS45" i="6"/>
  <c r="AV28" i="6"/>
  <c r="AP57" i="6"/>
  <c r="J32" i="6"/>
  <c r="K50" i="6"/>
  <c r="BE38" i="6"/>
  <c r="M48" i="6"/>
  <c r="AG72" i="6"/>
  <c r="U80" i="6"/>
  <c r="Q33" i="6"/>
  <c r="BJ71" i="6"/>
  <c r="O57" i="6"/>
  <c r="BE44" i="6"/>
  <c r="AV29" i="6"/>
  <c r="BA81" i="6"/>
  <c r="AQ53" i="6"/>
  <c r="L47" i="6"/>
  <c r="V35" i="6"/>
  <c r="G50" i="6"/>
  <c r="AX23" i="6"/>
  <c r="F12" i="6"/>
  <c r="BJ18" i="6"/>
  <c r="Z74" i="6"/>
  <c r="AB79" i="6"/>
  <c r="H21" i="6"/>
  <c r="AC22" i="6"/>
  <c r="N56" i="6"/>
  <c r="AR14" i="6"/>
  <c r="AM66" i="6"/>
  <c r="W14" i="6"/>
  <c r="AV47" i="6"/>
  <c r="F25" i="6"/>
  <c r="AP29" i="6"/>
  <c r="R58" i="6"/>
  <c r="BI77" i="6"/>
  <c r="AS41" i="6"/>
  <c r="N70" i="6"/>
  <c r="R74" i="6"/>
  <c r="S23" i="6"/>
  <c r="AK66" i="6"/>
  <c r="BK20" i="6"/>
  <c r="AX20" i="6"/>
  <c r="G46" i="6"/>
  <c r="AR30" i="6"/>
  <c r="M70" i="6"/>
  <c r="T38" i="6"/>
  <c r="BH13" i="6"/>
  <c r="AT70" i="6"/>
  <c r="R61" i="6"/>
  <c r="AS56" i="6"/>
  <c r="BA33" i="6"/>
  <c r="AL64" i="6"/>
  <c r="AK35" i="6"/>
  <c r="AX65" i="6"/>
  <c r="AD68" i="6"/>
  <c r="BJ16" i="6"/>
  <c r="AX78" i="6"/>
  <c r="AA61" i="6"/>
  <c r="AN81" i="6"/>
  <c r="AV63" i="6"/>
  <c r="AP21" i="6"/>
  <c r="AO65" i="6"/>
  <c r="W74" i="6"/>
  <c r="T28" i="6"/>
  <c r="BH57" i="6"/>
  <c r="F46" i="6"/>
  <c r="Z43" i="6"/>
  <c r="U15" i="6"/>
  <c r="V24" i="6"/>
  <c r="AE46" i="6"/>
  <c r="P79" i="6"/>
  <c r="AE82" i="6"/>
  <c r="AL24" i="6"/>
  <c r="BB55" i="6"/>
  <c r="T69" i="6"/>
  <c r="R19" i="6"/>
  <c r="BI55" i="6"/>
  <c r="J80" i="6"/>
  <c r="AK62" i="6"/>
  <c r="AE15" i="6"/>
  <c r="AY59" i="6"/>
  <c r="BK40" i="6"/>
  <c r="BG39" i="6"/>
  <c r="AZ66" i="6"/>
  <c r="AS21" i="6"/>
  <c r="BB38" i="6"/>
  <c r="BC16" i="6"/>
  <c r="J23" i="6"/>
  <c r="AE28" i="6"/>
  <c r="H79" i="6"/>
  <c r="AP28" i="6"/>
  <c r="BB68" i="6"/>
  <c r="BJ79" i="6"/>
  <c r="AO66" i="6"/>
  <c r="AK70" i="6"/>
  <c r="AH50" i="6"/>
  <c r="AF22" i="6"/>
  <c r="BK57" i="6"/>
  <c r="AV44" i="6"/>
  <c r="P44" i="6"/>
  <c r="AR61" i="6"/>
  <c r="AT31" i="6"/>
  <c r="BI40" i="6"/>
  <c r="Y18" i="6"/>
  <c r="AF52" i="6"/>
  <c r="AX50" i="6"/>
  <c r="AL75" i="6"/>
  <c r="AW76" i="6"/>
  <c r="L34" i="6"/>
  <c r="M41" i="6"/>
  <c r="AE44" i="6"/>
  <c r="F58" i="6"/>
  <c r="R66" i="6"/>
  <c r="BB49" i="6"/>
  <c r="O78" i="6"/>
  <c r="BF15" i="6"/>
  <c r="BH71" i="6"/>
  <c r="AC25" i="6"/>
  <c r="L51" i="6"/>
  <c r="I65" i="6"/>
  <c r="AN63" i="6"/>
  <c r="AA22" i="6"/>
  <c r="AT55" i="6"/>
  <c r="AO52" i="6"/>
  <c r="N35" i="6"/>
  <c r="BA73" i="6"/>
  <c r="AL29" i="6"/>
  <c r="AT46" i="6"/>
  <c r="AF54" i="6"/>
  <c r="U75" i="6"/>
  <c r="U17" i="6"/>
  <c r="K45" i="6"/>
  <c r="K26" i="6"/>
  <c r="AS50" i="6"/>
  <c r="AQ49" i="6"/>
  <c r="AA50" i="6"/>
  <c r="Q16" i="6"/>
  <c r="E21" i="6"/>
  <c r="AL19" i="6"/>
  <c r="AO40" i="6"/>
  <c r="AG44" i="6"/>
  <c r="BB58" i="6"/>
  <c r="AG31" i="6"/>
  <c r="AK40" i="6"/>
  <c r="Z64" i="6"/>
  <c r="AJ47" i="6"/>
  <c r="Y28" i="6"/>
  <c r="BC45" i="6"/>
  <c r="S18" i="6"/>
  <c r="AU68" i="6"/>
  <c r="W35" i="6"/>
  <c r="AW52" i="6"/>
  <c r="AD65" i="6"/>
  <c r="U56" i="6"/>
  <c r="Z45" i="6"/>
  <c r="AF68" i="6"/>
  <c r="AF24" i="6"/>
  <c r="E26" i="7"/>
  <c r="AY65" i="6"/>
  <c r="AI54" i="6"/>
  <c r="N79" i="6"/>
  <c r="U10" i="6"/>
  <c r="AK15" i="6"/>
  <c r="AV66" i="6"/>
  <c r="G49" i="6"/>
  <c r="I30" i="6"/>
  <c r="M29" i="6"/>
  <c r="AC50" i="6"/>
  <c r="F20" i="6"/>
  <c r="BF32" i="6"/>
  <c r="BC79" i="6"/>
  <c r="BL76" i="6"/>
  <c r="BI52" i="6"/>
  <c r="J28" i="6"/>
  <c r="N52" i="6"/>
  <c r="E31" i="8"/>
  <c r="AC67" i="6"/>
  <c r="BB42" i="6"/>
  <c r="F60" i="6"/>
  <c r="AK48" i="6"/>
  <c r="AR64" i="6"/>
  <c r="AM37" i="6"/>
  <c r="J49" i="6"/>
  <c r="Y76" i="6"/>
  <c r="S17" i="6"/>
  <c r="BD58" i="6"/>
  <c r="N14" i="6"/>
  <c r="AK47" i="6"/>
  <c r="K54" i="6"/>
  <c r="AS70" i="6"/>
  <c r="AA69" i="6"/>
  <c r="AU66" i="6"/>
  <c r="E40" i="7"/>
  <c r="AL30" i="6"/>
  <c r="X50" i="6"/>
  <c r="BH40" i="6"/>
  <c r="AI81" i="6"/>
  <c r="AT47" i="6"/>
  <c r="AP76" i="6"/>
  <c r="W76" i="6"/>
  <c r="AK41" i="6"/>
  <c r="AA10" i="6"/>
  <c r="L49" i="6"/>
  <c r="BG69" i="6"/>
  <c r="AX59" i="6"/>
  <c r="AQ12" i="6"/>
  <c r="Z25" i="6"/>
  <c r="M10" i="6"/>
  <c r="AU27" i="6"/>
  <c r="BI50" i="6"/>
  <c r="AP50" i="6"/>
  <c r="AT56" i="6"/>
  <c r="AB59" i="6"/>
  <c r="AK71" i="6"/>
  <c r="AZ82" i="6"/>
  <c r="AA32" i="6"/>
  <c r="AR10" i="6"/>
  <c r="AQ78" i="6"/>
  <c r="AK80" i="6"/>
  <c r="AT61" i="6"/>
  <c r="Z33" i="6"/>
  <c r="M35" i="6"/>
  <c r="AK52" i="6"/>
  <c r="L24" i="6"/>
  <c r="I64" i="6"/>
  <c r="AE17" i="6"/>
  <c r="R15" i="6"/>
  <c r="AS48" i="6"/>
  <c r="S16" i="6"/>
  <c r="AE30" i="6"/>
  <c r="AF55" i="6"/>
  <c r="N40" i="6"/>
  <c r="U28" i="6"/>
  <c r="F49" i="6"/>
  <c r="J17" i="6"/>
  <c r="S55" i="6"/>
  <c r="BB18" i="6"/>
  <c r="AH18" i="6"/>
  <c r="AO24" i="6"/>
  <c r="AC39" i="6"/>
  <c r="AH19" i="6"/>
  <c r="AA20" i="6"/>
  <c r="AE73" i="6"/>
  <c r="AJ24" i="6"/>
  <c r="AX73" i="6"/>
  <c r="AH64" i="6"/>
  <c r="L27" i="6"/>
  <c r="AD79" i="6"/>
  <c r="W59" i="6"/>
  <c r="AY48" i="6"/>
  <c r="BG40" i="6"/>
  <c r="S58" i="6"/>
  <c r="BF27" i="6"/>
  <c r="O77" i="6"/>
  <c r="AN56" i="6"/>
  <c r="BD27" i="6"/>
  <c r="AU67" i="6"/>
  <c r="AI27" i="6"/>
  <c r="AI34" i="6"/>
  <c r="F18" i="6"/>
  <c r="AE75" i="6"/>
  <c r="AO14" i="6"/>
  <c r="AY46" i="6"/>
  <c r="AE20" i="6"/>
  <c r="P16" i="6"/>
  <c r="W33" i="6"/>
  <c r="AT51" i="6"/>
  <c r="AI63" i="6"/>
  <c r="BC66" i="6"/>
  <c r="BK17" i="6"/>
  <c r="Y38" i="6"/>
  <c r="AY77" i="6"/>
  <c r="AZ64" i="6"/>
  <c r="BG57" i="6"/>
  <c r="X41" i="6"/>
  <c r="J81" i="6"/>
  <c r="W11" i="6"/>
  <c r="AJ22" i="6"/>
  <c r="AR39" i="6"/>
  <c r="BB82" i="6"/>
  <c r="AY56" i="6"/>
  <c r="BJ39" i="6"/>
  <c r="AV60" i="6"/>
  <c r="S80" i="6"/>
  <c r="AQ41" i="6"/>
  <c r="AP30" i="6"/>
  <c r="Z15" i="6"/>
  <c r="AH25" i="6"/>
  <c r="AF51" i="6"/>
  <c r="AW37" i="6"/>
  <c r="AF28" i="6"/>
  <c r="X34" i="6"/>
  <c r="AW41" i="6"/>
  <c r="AV16" i="6"/>
  <c r="BH73" i="6"/>
  <c r="F67" i="6"/>
  <c r="AP31" i="6"/>
  <c r="AC20" i="6"/>
  <c r="BB12" i="6"/>
  <c r="AA43" i="6"/>
  <c r="BL10" i="6"/>
  <c r="AS14" i="6"/>
  <c r="AG58" i="6"/>
  <c r="W17" i="6"/>
  <c r="AY14" i="6"/>
  <c r="R10" i="6"/>
  <c r="AH40" i="6"/>
  <c r="AU54" i="6"/>
  <c r="BG15" i="6"/>
  <c r="AH79" i="6"/>
  <c r="AP56" i="6"/>
  <c r="AM21" i="6"/>
  <c r="I77" i="6"/>
  <c r="AD51" i="6"/>
  <c r="AY44" i="6"/>
  <c r="AF32" i="6"/>
  <c r="P38" i="6"/>
  <c r="AA78" i="6"/>
  <c r="W64" i="6"/>
  <c r="BL24" i="6"/>
  <c r="BJ59" i="6"/>
  <c r="E54" i="6"/>
  <c r="BC22" i="6"/>
  <c r="J75" i="6"/>
  <c r="AK49" i="6"/>
  <c r="BL32" i="6"/>
  <c r="AW22" i="6"/>
  <c r="AJ11" i="6"/>
  <c r="AN30" i="6"/>
  <c r="AM40" i="6"/>
  <c r="BG30" i="6"/>
  <c r="Z40" i="6"/>
  <c r="M17" i="6"/>
  <c r="AA68" i="6"/>
  <c r="M20" i="6"/>
  <c r="BJ26" i="6"/>
  <c r="S50" i="6"/>
  <c r="AB57" i="6"/>
  <c r="AF12" i="6"/>
  <c r="AS15" i="6"/>
  <c r="E68" i="6"/>
  <c r="BA75" i="6"/>
  <c r="BK81" i="6"/>
  <c r="P12" i="6"/>
  <c r="AQ14" i="6"/>
  <c r="AW32" i="6"/>
  <c r="BF38" i="6"/>
  <c r="AJ65" i="6"/>
  <c r="AD42" i="6"/>
  <c r="BI76" i="6"/>
  <c r="AL31" i="6"/>
  <c r="Y66" i="6"/>
  <c r="BB65" i="6"/>
  <c r="Z60" i="6"/>
  <c r="Z11" i="6"/>
  <c r="V31" i="6"/>
  <c r="Y27" i="6"/>
  <c r="AH12" i="6"/>
  <c r="BI62" i="6"/>
  <c r="BG52" i="6"/>
  <c r="AE19" i="6"/>
  <c r="AC38" i="6"/>
  <c r="AQ69" i="6"/>
  <c r="R67" i="6"/>
  <c r="M45" i="6"/>
  <c r="G14" i="6"/>
  <c r="R36" i="6"/>
  <c r="V60" i="6"/>
  <c r="AH49" i="6"/>
  <c r="BG18" i="6"/>
  <c r="AI17" i="6"/>
  <c r="BA12" i="6"/>
  <c r="AU62" i="6"/>
  <c r="AU12" i="6"/>
  <c r="AX10" i="6"/>
  <c r="AL72" i="6"/>
  <c r="AB39" i="6"/>
  <c r="Y41" i="6"/>
  <c r="BE11" i="6"/>
  <c r="M32" i="6"/>
  <c r="Q39" i="6"/>
  <c r="N20" i="6"/>
  <c r="AA31" i="6"/>
  <c r="AA47" i="6"/>
  <c r="BG10" i="6"/>
  <c r="O48" i="6"/>
  <c r="AS49" i="6"/>
  <c r="AI26" i="6"/>
  <c r="BL46" i="6"/>
  <c r="AW78" i="6"/>
  <c r="E80" i="6"/>
  <c r="AU73" i="6"/>
  <c r="AF57" i="6"/>
  <c r="G67" i="6"/>
  <c r="W50" i="6"/>
  <c r="Z37" i="6"/>
  <c r="BK55" i="6"/>
  <c r="Y45" i="6"/>
  <c r="P50" i="6"/>
  <c r="Z34" i="6"/>
  <c r="O81" i="6"/>
  <c r="BE24" i="6"/>
  <c r="I23" i="6"/>
  <c r="I14" i="6"/>
  <c r="AQ39" i="6"/>
  <c r="W72" i="6"/>
  <c r="AV17" i="6"/>
  <c r="AR32" i="6"/>
  <c r="U72" i="6"/>
  <c r="E13" i="7"/>
  <c r="BC64" i="6"/>
  <c r="F10" i="6"/>
  <c r="BA22" i="6"/>
  <c r="BH75" i="6"/>
  <c r="Q35" i="6"/>
  <c r="N32" i="6"/>
  <c r="BB47" i="6"/>
  <c r="J39" i="6"/>
  <c r="AG34" i="6"/>
  <c r="AT80" i="6"/>
  <c r="AX35" i="6"/>
  <c r="BH44" i="6"/>
  <c r="AG10" i="6"/>
  <c r="BF17" i="6"/>
  <c r="AJ10" i="6"/>
  <c r="W20" i="6"/>
  <c r="AN23" i="6"/>
  <c r="BB43" i="6"/>
  <c r="BG61" i="6"/>
  <c r="L21" i="6"/>
  <c r="V37" i="6"/>
  <c r="I76" i="6"/>
  <c r="BG28" i="6"/>
  <c r="AO72" i="6"/>
  <c r="BC23" i="6"/>
  <c r="AM27" i="6"/>
  <c r="BL40" i="6"/>
  <c r="AX67" i="6"/>
  <c r="G80" i="6"/>
  <c r="U31" i="6"/>
  <c r="M28" i="6"/>
  <c r="F32" i="6"/>
  <c r="AC74" i="6"/>
  <c r="AI31" i="6"/>
  <c r="Q50" i="6"/>
  <c r="M59" i="6"/>
  <c r="BL57" i="6"/>
  <c r="BG66" i="6"/>
  <c r="Z57" i="6"/>
  <c r="AK30" i="6"/>
  <c r="J68" i="6"/>
  <c r="P70" i="6"/>
  <c r="E58" i="6"/>
  <c r="I68" i="6"/>
  <c r="AI23" i="6"/>
  <c r="AF19" i="6"/>
  <c r="R70" i="6"/>
  <c r="BD69" i="6"/>
  <c r="AW27" i="6"/>
  <c r="BI67" i="6"/>
  <c r="BJ34" i="6"/>
  <c r="V10" i="6"/>
  <c r="AF41" i="6"/>
  <c r="AB18" i="6"/>
  <c r="AZ41" i="6"/>
  <c r="BI35" i="6"/>
  <c r="AA41" i="6"/>
  <c r="BE52" i="6"/>
  <c r="O41" i="6"/>
  <c r="AH45" i="6"/>
  <c r="BJ11" i="6"/>
  <c r="E55" i="6"/>
  <c r="AO17" i="6"/>
  <c r="AV22" i="6"/>
  <c r="V78" i="6"/>
  <c r="I20" i="6"/>
  <c r="AV33" i="6"/>
  <c r="AI64" i="6"/>
  <c r="AN80" i="6"/>
  <c r="BI56" i="6"/>
  <c r="P36" i="6"/>
  <c r="AM35" i="6"/>
  <c r="AZ44" i="6"/>
  <c r="AE55" i="6"/>
  <c r="J55" i="6"/>
  <c r="E65" i="6"/>
  <c r="BA37" i="6"/>
  <c r="J69" i="6"/>
  <c r="AN67" i="6"/>
  <c r="AK17" i="6"/>
  <c r="T52" i="6"/>
  <c r="AI68" i="6"/>
  <c r="AO73" i="6"/>
  <c r="AI44" i="6"/>
  <c r="W56" i="6"/>
  <c r="W26" i="6"/>
  <c r="BC75" i="6"/>
  <c r="V67" i="6"/>
  <c r="AK25" i="6"/>
  <c r="AX37" i="6"/>
  <c r="X56" i="6"/>
  <c r="I71" i="6"/>
  <c r="U24" i="6"/>
  <c r="AR28" i="6"/>
  <c r="G58" i="6"/>
  <c r="P43" i="6"/>
  <c r="BE54" i="6"/>
  <c r="AA42" i="6"/>
  <c r="AK65" i="6"/>
  <c r="BA67" i="6"/>
  <c r="AQ10" i="6"/>
  <c r="V63" i="6"/>
  <c r="F21" i="6"/>
  <c r="AJ50" i="6"/>
  <c r="G18" i="6"/>
  <c r="V82" i="6"/>
  <c r="H47" i="6"/>
  <c r="AH54" i="6"/>
  <c r="V73" i="6"/>
  <c r="L69" i="6"/>
  <c r="AJ19" i="6"/>
  <c r="AV32" i="6"/>
  <c r="AU14" i="6"/>
  <c r="AS33" i="6"/>
  <c r="R11" i="6"/>
  <c r="AF17" i="6"/>
  <c r="K22" i="6"/>
  <c r="AT78" i="6"/>
  <c r="BD78" i="6"/>
  <c r="AW26" i="6"/>
  <c r="AL47" i="6"/>
  <c r="BG38" i="6"/>
  <c r="AS78" i="6"/>
  <c r="K18" i="6"/>
  <c r="BJ19" i="6"/>
  <c r="H54" i="6"/>
  <c r="BE18" i="6"/>
  <c r="BH10" i="6"/>
  <c r="AT68" i="6"/>
  <c r="AQ21" i="6"/>
  <c r="H73" i="6"/>
  <c r="AP64" i="6"/>
  <c r="BE56" i="6"/>
  <c r="O27" i="6"/>
  <c r="BK60" i="6"/>
  <c r="AP80" i="6"/>
  <c r="AX26" i="6"/>
  <c r="AJ16" i="6"/>
  <c r="BJ13" i="6"/>
  <c r="F81" i="6"/>
  <c r="AJ17" i="6"/>
  <c r="AW17" i="6"/>
  <c r="Z14" i="6"/>
  <c r="AK21" i="6"/>
  <c r="BC71" i="6"/>
  <c r="AD17" i="6"/>
  <c r="T73" i="6"/>
  <c r="AT36" i="6"/>
  <c r="AO13" i="6"/>
  <c r="AK33" i="6"/>
  <c r="H45" i="6"/>
  <c r="AB43" i="6"/>
  <c r="AB21" i="6"/>
  <c r="AQ25" i="6"/>
  <c r="AP13" i="6"/>
  <c r="AN16" i="6"/>
  <c r="BL77" i="6"/>
  <c r="BB29" i="6"/>
  <c r="O17" i="6"/>
  <c r="BD10" i="6"/>
  <c r="X26" i="6"/>
  <c r="AM22" i="6"/>
  <c r="P76" i="6"/>
  <c r="AJ71" i="6"/>
  <c r="Q71" i="6"/>
  <c r="AB15" i="6"/>
  <c r="Z23" i="6"/>
  <c r="AN50" i="6"/>
  <c r="AI24" i="6"/>
  <c r="AM34" i="6"/>
  <c r="AL76" i="6"/>
  <c r="AT81" i="6"/>
  <c r="AR55" i="6"/>
  <c r="BL19" i="6"/>
  <c r="BF34" i="6"/>
  <c r="L73" i="6"/>
  <c r="Q76" i="6"/>
  <c r="AF16" i="6"/>
  <c r="M57" i="6"/>
  <c r="BJ72" i="6"/>
  <c r="P33" i="6"/>
  <c r="AZ76" i="6"/>
  <c r="AI14" i="6"/>
  <c r="O50" i="6"/>
  <c r="BC61" i="6"/>
  <c r="BH36" i="6"/>
  <c r="AX76" i="6"/>
  <c r="Q44" i="6"/>
  <c r="W28" i="6"/>
  <c r="Y13" i="6"/>
  <c r="AG50" i="6"/>
  <c r="Y53" i="6"/>
  <c r="AB67" i="6"/>
  <c r="K66" i="6"/>
  <c r="AD77" i="6"/>
  <c r="U20" i="6"/>
  <c r="BD29" i="6"/>
  <c r="BH56" i="6"/>
  <c r="AS10" i="6"/>
  <c r="AF61" i="6"/>
  <c r="H28" i="6"/>
  <c r="BD62" i="6"/>
  <c r="G43" i="6"/>
  <c r="BE73" i="6"/>
  <c r="AS16" i="6"/>
  <c r="O45" i="6"/>
  <c r="AQ16" i="6"/>
  <c r="H17" i="6"/>
  <c r="U55" i="6"/>
  <c r="F31" i="6"/>
  <c r="BC40" i="6"/>
  <c r="BC82" i="6"/>
  <c r="AC34" i="6"/>
  <c r="J74" i="6"/>
  <c r="AF76" i="6"/>
  <c r="Z79" i="6"/>
  <c r="F31" i="8"/>
  <c r="O13" i="6"/>
  <c r="AR35" i="6"/>
  <c r="AM51" i="6"/>
  <c r="T53" i="6"/>
  <c r="AG30" i="6"/>
  <c r="AI56" i="6"/>
  <c r="AJ28" i="6"/>
  <c r="AM55" i="6"/>
  <c r="AT74" i="6"/>
  <c r="U48" i="6"/>
  <c r="S43" i="6"/>
  <c r="I50" i="6"/>
  <c r="AW18" i="6"/>
  <c r="BE15" i="6"/>
  <c r="P54" i="6"/>
  <c r="N71" i="6"/>
  <c r="Q75" i="6"/>
  <c r="BC63" i="6"/>
  <c r="AG42" i="6"/>
  <c r="E30" i="6"/>
  <c r="AZ63" i="6"/>
  <c r="U23" i="6"/>
  <c r="P64" i="6"/>
  <c r="AY53" i="6"/>
  <c r="AB28" i="6"/>
  <c r="V43" i="6"/>
  <c r="O21" i="6"/>
  <c r="P63" i="6"/>
  <c r="AH60" i="6"/>
  <c r="AV15" i="6"/>
  <c r="BA80" i="6"/>
  <c r="W51" i="6"/>
  <c r="N34" i="6"/>
  <c r="AI52" i="6"/>
  <c r="H12" i="6"/>
  <c r="W16" i="6"/>
  <c r="U19" i="6"/>
  <c r="AD28" i="6"/>
  <c r="AC24" i="6"/>
  <c r="BA54" i="6"/>
  <c r="P22" i="6"/>
  <c r="H53" i="6"/>
  <c r="AU24" i="6"/>
  <c r="AQ50" i="6"/>
  <c r="V15" i="6"/>
  <c r="X10" i="6"/>
  <c r="AG68" i="6"/>
  <c r="AZ60" i="6"/>
  <c r="P80" i="6"/>
  <c r="BD63" i="6"/>
  <c r="AB47" i="6"/>
  <c r="AT35" i="6"/>
  <c r="R79" i="6"/>
  <c r="AV82" i="6"/>
  <c r="E15" i="6"/>
  <c r="S63" i="6"/>
  <c r="K17" i="6"/>
  <c r="AG81" i="6"/>
  <c r="AG51" i="6"/>
  <c r="Q23" i="6"/>
  <c r="AS30" i="6"/>
  <c r="BJ81" i="6"/>
  <c r="E10" i="6"/>
  <c r="AS43" i="6"/>
  <c r="I59" i="6"/>
  <c r="AS68" i="6"/>
  <c r="M61" i="6"/>
  <c r="BG24" i="6"/>
  <c r="AH30" i="6"/>
  <c r="AO32" i="6"/>
  <c r="AM17" i="6"/>
  <c r="AI38" i="6"/>
  <c r="AM53" i="6"/>
  <c r="AY16" i="6"/>
  <c r="AN32" i="6"/>
  <c r="AA45" i="6"/>
  <c r="AN22" i="6"/>
  <c r="P23" i="6"/>
  <c r="BJ80" i="6"/>
  <c r="BG68" i="6"/>
  <c r="U82" i="6"/>
  <c r="L31" i="6"/>
  <c r="I61" i="6"/>
  <c r="AZ55" i="6"/>
  <c r="AI72" i="6"/>
  <c r="BK66" i="6"/>
  <c r="AQ61" i="6"/>
  <c r="AR53" i="6"/>
  <c r="AR58" i="6"/>
  <c r="AM43" i="6"/>
  <c r="BE55" i="6"/>
  <c r="BD59" i="6"/>
  <c r="AU81" i="6"/>
  <c r="P32" i="6"/>
  <c r="F69" i="6"/>
  <c r="I31" i="6"/>
  <c r="AW28" i="6"/>
  <c r="S82" i="6"/>
  <c r="AG76" i="6"/>
  <c r="E12" i="6"/>
  <c r="J67" i="6"/>
  <c r="T55" i="6"/>
  <c r="W42" i="6"/>
  <c r="H14" i="6"/>
  <c r="AT65" i="6"/>
  <c r="S62" i="6"/>
  <c r="K62" i="6"/>
  <c r="BJ22" i="6"/>
  <c r="BK71" i="6"/>
  <c r="AT26" i="6"/>
  <c r="I73" i="6"/>
  <c r="AL37" i="6"/>
  <c r="R53" i="6"/>
  <c r="AX74" i="6"/>
  <c r="BG19" i="6"/>
  <c r="J44" i="6"/>
  <c r="BG80" i="6"/>
  <c r="AL38" i="6"/>
  <c r="K44" i="6"/>
  <c r="AW67" i="6"/>
  <c r="AZ54" i="6"/>
  <c r="AX36" i="6"/>
  <c r="AT53" i="6"/>
  <c r="P14" i="6"/>
  <c r="AG47" i="6"/>
  <c r="BI75" i="6"/>
  <c r="K52" i="6"/>
  <c r="K29" i="6"/>
  <c r="AW34" i="6"/>
  <c r="AD44" i="6"/>
  <c r="T59" i="6"/>
  <c r="BD44" i="6"/>
  <c r="AO74" i="6"/>
  <c r="P46" i="6"/>
  <c r="V66" i="6"/>
  <c r="BE79" i="6"/>
  <c r="AH71" i="6"/>
  <c r="AO28" i="6"/>
  <c r="O32" i="6"/>
  <c r="AJ23" i="6"/>
  <c r="L74" i="6"/>
  <c r="AB56" i="6"/>
  <c r="BL28" i="6"/>
  <c r="BK25" i="6"/>
  <c r="AT50" i="6"/>
  <c r="AN31" i="6"/>
  <c r="AS40" i="6"/>
  <c r="BK45" i="6"/>
  <c r="F71" i="6"/>
  <c r="L28" i="6"/>
  <c r="AX15" i="6"/>
  <c r="Q45" i="6"/>
  <c r="O72" i="6"/>
  <c r="H22" i="6"/>
  <c r="AI33" i="6"/>
  <c r="Z41" i="6"/>
  <c r="AH32" i="6"/>
  <c r="J50" i="6"/>
  <c r="S21" i="6"/>
  <c r="AV26" i="6"/>
  <c r="Q49" i="6"/>
  <c r="AT52" i="6"/>
  <c r="Y56" i="6"/>
  <c r="BK79" i="6"/>
  <c r="E28" i="7"/>
  <c r="BE77" i="6"/>
  <c r="R49" i="6"/>
  <c r="J38" i="6"/>
  <c r="T64" i="6"/>
  <c r="BI60" i="6"/>
  <c r="AJ70" i="6"/>
  <c r="AD73" i="6"/>
  <c r="AC60" i="6"/>
  <c r="N74" i="6"/>
  <c r="BB23" i="6"/>
  <c r="Q40" i="6"/>
  <c r="BF12" i="6"/>
  <c r="AM28" i="6"/>
  <c r="AG21" i="6"/>
  <c r="AN14" i="6"/>
  <c r="Y52" i="6"/>
  <c r="W82" i="6"/>
  <c r="BB81" i="6"/>
  <c r="K73" i="6"/>
  <c r="BL73" i="6"/>
  <c r="O10" i="6"/>
  <c r="T17" i="6"/>
  <c r="AS22" i="6"/>
  <c r="T71" i="6"/>
  <c r="U58" i="6"/>
  <c r="Y63" i="6"/>
  <c r="U61" i="6"/>
  <c r="J60" i="6"/>
  <c r="AZ72" i="6"/>
  <c r="AF75" i="6"/>
  <c r="AV19" i="6"/>
  <c r="E32" i="8"/>
  <c r="BC33" i="6"/>
  <c r="BJ67" i="6"/>
  <c r="V38" i="6"/>
  <c r="AG19" i="6"/>
  <c r="AI71" i="6"/>
  <c r="AJ30" i="6"/>
  <c r="V54" i="6"/>
  <c r="BI59" i="6"/>
  <c r="K13" i="6"/>
  <c r="AR82" i="6"/>
  <c r="M80" i="6"/>
  <c r="AC59" i="6"/>
  <c r="BL69" i="6"/>
  <c r="AJ48" i="6"/>
  <c r="P41" i="6"/>
  <c r="J31" i="6"/>
  <c r="BJ20" i="6"/>
  <c r="BA38" i="6"/>
  <c r="P51" i="6"/>
  <c r="AK77" i="6"/>
  <c r="AE64" i="6"/>
  <c r="AO76" i="6"/>
  <c r="Z44" i="6"/>
  <c r="Q73" i="6"/>
  <c r="AL52" i="6"/>
  <c r="AY41" i="6"/>
  <c r="AR11" i="6"/>
  <c r="Q13" i="6"/>
  <c r="AR80" i="6"/>
  <c r="AS38" i="6"/>
  <c r="AY22" i="6"/>
  <c r="BD68" i="6"/>
  <c r="AT54" i="6"/>
  <c r="BH77" i="6"/>
  <c r="AP15" i="6"/>
  <c r="AW77" i="6"/>
  <c r="AG71" i="6"/>
  <c r="E35" i="6"/>
  <c r="BI19" i="6"/>
  <c r="T24" i="6"/>
  <c r="AW38" i="6"/>
  <c r="BI16" i="6"/>
  <c r="BJ38" i="6"/>
  <c r="AQ37" i="6"/>
  <c r="BC67" i="6"/>
  <c r="BG29" i="6"/>
  <c r="U59" i="6"/>
  <c r="Y22" i="6"/>
  <c r="AH78" i="6"/>
  <c r="AK37" i="6"/>
  <c r="AM67" i="6"/>
  <c r="AG32" i="6"/>
  <c r="S78" i="6"/>
  <c r="AC80" i="6"/>
  <c r="AO53" i="6"/>
  <c r="BA74" i="6"/>
  <c r="AH35" i="6"/>
  <c r="AC17" i="6"/>
  <c r="AR57" i="6"/>
  <c r="BE35" i="6"/>
  <c r="S76" i="6"/>
  <c r="AV40" i="6"/>
  <c r="I38" i="6"/>
  <c r="K55" i="6"/>
  <c r="AB63" i="6"/>
  <c r="BI36" i="6"/>
  <c r="Y78" i="6"/>
  <c r="G71" i="6"/>
  <c r="AH10" i="6"/>
  <c r="AN54" i="6"/>
  <c r="AK61" i="6"/>
  <c r="U12" i="6"/>
  <c r="AN46" i="6"/>
  <c r="AY12" i="6"/>
  <c r="L48" i="6"/>
  <c r="AU63" i="6"/>
  <c r="O19" i="6"/>
  <c r="AV11" i="6"/>
  <c r="AE12" i="6"/>
  <c r="G36" i="6"/>
  <c r="Q31" i="6"/>
  <c r="AY68" i="6"/>
  <c r="BD60" i="6"/>
  <c r="BJ73" i="6"/>
  <c r="U25" i="6"/>
  <c r="AZ52" i="6"/>
  <c r="BJ61" i="6"/>
  <c r="BG73" i="6"/>
  <c r="G73" i="6"/>
  <c r="BB69" i="6"/>
  <c r="R71" i="6"/>
  <c r="BB32" i="6"/>
  <c r="BL49" i="6"/>
  <c r="AO42" i="6"/>
  <c r="X80" i="6"/>
  <c r="AN37" i="6"/>
  <c r="AF70" i="6"/>
  <c r="AA80" i="6"/>
  <c r="BA34" i="6"/>
  <c r="H56" i="6"/>
  <c r="H26" i="6"/>
  <c r="BD79" i="6"/>
  <c r="F19" i="6"/>
  <c r="AD21" i="6"/>
  <c r="AU15" i="6"/>
  <c r="AL15" i="6"/>
  <c r="AA65" i="6"/>
  <c r="AI58" i="6"/>
  <c r="W65" i="6"/>
  <c r="AQ63" i="6"/>
  <c r="AT30" i="6"/>
  <c r="I78" i="6"/>
  <c r="O35" i="6"/>
  <c r="BA77" i="6"/>
  <c r="AB69" i="6"/>
  <c r="P15" i="6"/>
  <c r="AP27" i="6"/>
  <c r="BH14" i="6"/>
  <c r="U11" i="6"/>
  <c r="BF31" i="6"/>
  <c r="AG75" i="6"/>
  <c r="S41" i="6"/>
  <c r="E34" i="8"/>
  <c r="AF59" i="6"/>
  <c r="Q67" i="6"/>
  <c r="U53" i="6"/>
  <c r="AG65" i="6"/>
  <c r="K77" i="6"/>
  <c r="BE61" i="6"/>
  <c r="BC73" i="6"/>
  <c r="BI39" i="6"/>
  <c r="O76" i="6"/>
  <c r="AE11" i="6"/>
  <c r="AJ82" i="6"/>
  <c r="AQ79" i="6"/>
  <c r="AB41" i="6"/>
  <c r="AD39" i="6"/>
  <c r="BC51" i="6"/>
  <c r="AB48" i="6"/>
  <c r="AR67" i="6"/>
  <c r="G57" i="6"/>
  <c r="Z78" i="6"/>
  <c r="AN44" i="6"/>
  <c r="BI80" i="6"/>
  <c r="AB19" i="6"/>
  <c r="AM31" i="6"/>
  <c r="R16" i="6"/>
  <c r="Q24" i="6"/>
  <c r="V64" i="6"/>
  <c r="AM12" i="6"/>
  <c r="BJ28" i="6"/>
  <c r="E41" i="7"/>
  <c r="AG38" i="6"/>
  <c r="N39" i="6"/>
  <c r="BI22" i="6"/>
  <c r="Z54" i="6"/>
  <c r="H36" i="6"/>
  <c r="T48" i="6"/>
  <c r="T13" i="6"/>
  <c r="BE10" i="6"/>
  <c r="BI17" i="6"/>
  <c r="BJ31" i="6"/>
  <c r="P20" i="6"/>
  <c r="BD33" i="6"/>
  <c r="AB82" i="6"/>
  <c r="AH37" i="6"/>
  <c r="BJ51" i="6"/>
  <c r="T66" i="6"/>
  <c r="O67" i="6"/>
  <c r="I34" i="6"/>
  <c r="S79" i="6"/>
  <c r="AO81" i="6"/>
  <c r="G63" i="6"/>
  <c r="AY23" i="6"/>
  <c r="AS36" i="6"/>
  <c r="AS47" i="6"/>
  <c r="AK16" i="6"/>
  <c r="BC62" i="6"/>
  <c r="BE53" i="6"/>
  <c r="N80" i="6"/>
  <c r="AJ73" i="6"/>
  <c r="AU79" i="6"/>
  <c r="Z53" i="6"/>
  <c r="AP19" i="6"/>
  <c r="BI79" i="6"/>
  <c r="BL47" i="6"/>
  <c r="BE74" i="6"/>
  <c r="BE19" i="6"/>
  <c r="E38" i="6"/>
  <c r="AO59" i="6"/>
  <c r="AU37" i="6"/>
  <c r="U63" i="6"/>
  <c r="BF13" i="6"/>
  <c r="AY67" i="6"/>
  <c r="AN71" i="6"/>
  <c r="M63" i="6"/>
  <c r="E51" i="6"/>
  <c r="O31" i="6"/>
  <c r="Q22" i="6"/>
  <c r="U29" i="6"/>
  <c r="U13" i="6"/>
  <c r="AW43" i="6"/>
  <c r="W38" i="6"/>
  <c r="AN26" i="6"/>
  <c r="BF24" i="6"/>
  <c r="AW31" i="6"/>
  <c r="G22" i="6"/>
  <c r="AV65" i="6"/>
  <c r="AP75" i="6"/>
  <c r="I43" i="6"/>
  <c r="H23" i="6"/>
  <c r="BF56" i="6"/>
  <c r="F33" i="6"/>
  <c r="F22" i="6"/>
  <c r="BK63" i="6"/>
  <c r="N30" i="6"/>
  <c r="AM72" i="6"/>
  <c r="AJ56" i="6"/>
  <c r="L81" i="6"/>
  <c r="BC47" i="6"/>
  <c r="Y11" i="6"/>
  <c r="AN53" i="6"/>
  <c r="Y64" i="6"/>
  <c r="AZ57" i="6"/>
  <c r="BG27" i="6"/>
  <c r="N67" i="6"/>
  <c r="J70" i="6"/>
  <c r="M37" i="6"/>
  <c r="BI10" i="6"/>
  <c r="R69" i="6"/>
  <c r="AX82" i="6"/>
  <c r="U36" i="6"/>
  <c r="J16" i="6"/>
  <c r="AQ76" i="6"/>
  <c r="Y34" i="6"/>
  <c r="H42" i="6"/>
  <c r="AE68" i="6"/>
  <c r="J71" i="6"/>
  <c r="L13" i="6"/>
  <c r="Y82" i="6"/>
  <c r="X67" i="6"/>
  <c r="AJ60" i="6"/>
  <c r="S73" i="6"/>
  <c r="Z66" i="6"/>
  <c r="BE34" i="6"/>
  <c r="AJ18" i="6"/>
  <c r="BA36" i="6"/>
  <c r="BF49" i="6"/>
  <c r="X70" i="6"/>
  <c r="O66" i="6"/>
  <c r="AS32" i="6"/>
  <c r="U40" i="6"/>
  <c r="AM14" i="6"/>
  <c r="AD54" i="6"/>
  <c r="BA45" i="6"/>
  <c r="AT62" i="6"/>
  <c r="K61" i="6"/>
  <c r="BD32" i="6"/>
  <c r="BD17" i="6"/>
  <c r="N61" i="6"/>
  <c r="H77" i="6"/>
  <c r="AF13" i="6"/>
  <c r="AO12" i="6"/>
  <c r="AE61" i="6"/>
  <c r="L18" i="6"/>
  <c r="AD81" i="6"/>
  <c r="AM57" i="6"/>
  <c r="AB16" i="6"/>
  <c r="AR33" i="6"/>
  <c r="N60" i="6"/>
  <c r="O40" i="6"/>
  <c r="Q61" i="6"/>
  <c r="AJ80" i="6"/>
  <c r="L56" i="6"/>
  <c r="U60" i="6"/>
  <c r="AI22" i="6"/>
  <c r="BB79" i="6"/>
  <c r="AU32" i="6"/>
  <c r="V13" i="6"/>
  <c r="AJ78" i="6"/>
  <c r="Z18" i="6"/>
  <c r="S38" i="6"/>
  <c r="J43" i="6"/>
  <c r="BF79" i="6"/>
  <c r="AQ68" i="6"/>
  <c r="AM69" i="6"/>
  <c r="T33" i="6"/>
  <c r="S59" i="6"/>
  <c r="N82" i="6"/>
  <c r="AF29" i="6"/>
  <c r="H68" i="6"/>
  <c r="R41" i="6"/>
  <c r="AS34" i="6"/>
  <c r="BJ41" i="6"/>
  <c r="AQ52" i="6"/>
  <c r="T26" i="6"/>
  <c r="AN82" i="6"/>
  <c r="BJ40" i="6"/>
  <c r="BB36" i="6"/>
  <c r="AS17" i="6"/>
  <c r="BB59" i="6"/>
  <c r="AH81" i="6"/>
  <c r="BH79" i="6"/>
  <c r="AJ61" i="6"/>
  <c r="AO38" i="6"/>
  <c r="AY30" i="6"/>
  <c r="M18" i="6"/>
  <c r="BG67" i="6"/>
  <c r="AK27" i="6"/>
  <c r="BA19" i="6"/>
  <c r="AB11" i="6"/>
  <c r="AZ10" i="6"/>
  <c r="AT24" i="6"/>
  <c r="AH43" i="6"/>
  <c r="AK64" i="6"/>
  <c r="BK69" i="6"/>
  <c r="AX64" i="6"/>
  <c r="AL48" i="6"/>
  <c r="BJ54" i="6"/>
  <c r="AD19" i="6"/>
  <c r="J61" i="6"/>
  <c r="AM42" i="6"/>
  <c r="BB52" i="6"/>
  <c r="G42" i="6"/>
  <c r="BI32" i="6"/>
  <c r="Q80" i="6"/>
  <c r="AN65" i="6"/>
  <c r="BE26" i="6"/>
  <c r="AY37" i="6"/>
  <c r="BI25" i="6"/>
  <c r="AT57" i="6"/>
  <c r="BK29" i="6"/>
  <c r="W55" i="6"/>
  <c r="AR21" i="6"/>
  <c r="AA37" i="6"/>
  <c r="AH29" i="6"/>
  <c r="BL26" i="6"/>
  <c r="AR54" i="6"/>
  <c r="K49" i="6"/>
  <c r="BF50" i="6"/>
  <c r="AJ75" i="6"/>
  <c r="AX46" i="6"/>
  <c r="BJ30" i="6"/>
  <c r="Q81" i="6"/>
  <c r="AO61" i="6"/>
  <c r="W68" i="6"/>
  <c r="I39" i="6"/>
  <c r="AZ80" i="6"/>
  <c r="AT42" i="6"/>
  <c r="AB17" i="6"/>
  <c r="AO63" i="6"/>
  <c r="AY51" i="6"/>
  <c r="G74" i="6"/>
  <c r="AR46" i="6"/>
  <c r="Y14" i="6"/>
  <c r="AG22" i="6"/>
  <c r="H60" i="6"/>
  <c r="S54" i="6"/>
  <c r="AI47" i="6"/>
  <c r="Z50" i="6"/>
  <c r="BD13" i="6"/>
  <c r="BI30" i="6"/>
  <c r="AD45" i="6"/>
  <c r="AD52" i="6"/>
  <c r="BK26" i="6"/>
  <c r="N28" i="6"/>
  <c r="Z10" i="6"/>
  <c r="BL18" i="6"/>
  <c r="AM47" i="6"/>
  <c r="AA71" i="6"/>
  <c r="BK73" i="6"/>
  <c r="AL42" i="6"/>
  <c r="BD14" i="6"/>
  <c r="W37" i="6"/>
  <c r="E50" i="6"/>
  <c r="O37" i="6"/>
  <c r="AU11" i="6"/>
  <c r="M56" i="6"/>
  <c r="L54" i="6"/>
  <c r="AP11" i="6"/>
  <c r="BK31" i="6"/>
  <c r="Q62" i="6"/>
  <c r="X75" i="6"/>
  <c r="BC25" i="6"/>
  <c r="P49" i="6"/>
  <c r="L64" i="6"/>
  <c r="L38" i="6"/>
  <c r="K24" i="6"/>
  <c r="AK12" i="6"/>
  <c r="BH33" i="6"/>
  <c r="AS52" i="6"/>
  <c r="BL66" i="6"/>
  <c r="BH58" i="6"/>
  <c r="BE72" i="6"/>
  <c r="BK11" i="6"/>
  <c r="Y49" i="6"/>
  <c r="AR51" i="6"/>
  <c r="AE74" i="6"/>
  <c r="AN64" i="6"/>
  <c r="AO58" i="6"/>
  <c r="BB33" i="6"/>
  <c r="AY78" i="6"/>
  <c r="AK38" i="6"/>
  <c r="BF77" i="6"/>
  <c r="BA62" i="6"/>
  <c r="U65" i="6"/>
  <c r="BE57" i="6"/>
  <c r="AO29" i="6"/>
  <c r="Y75" i="6"/>
  <c r="AU51" i="6"/>
  <c r="AK73" i="6"/>
  <c r="AM39" i="6"/>
  <c r="R42" i="6"/>
  <c r="S34" i="6"/>
  <c r="M21" i="6"/>
  <c r="BB44" i="6"/>
  <c r="W45" i="6"/>
  <c r="AX41" i="6"/>
  <c r="I36" i="6"/>
  <c r="P47" i="6"/>
  <c r="W22" i="6"/>
  <c r="AC75" i="6"/>
  <c r="AW42" i="6"/>
  <c r="AS23" i="6"/>
  <c r="AS51" i="6"/>
  <c r="BH43" i="6"/>
  <c r="Q17" i="6"/>
  <c r="AK76" i="6"/>
  <c r="BH82" i="6"/>
  <c r="AA77" i="6"/>
  <c r="AO22" i="6"/>
  <c r="E63" i="6"/>
  <c r="Y30" i="6"/>
  <c r="O79" i="6"/>
  <c r="BB60" i="6"/>
  <c r="AK22" i="6"/>
  <c r="AI80" i="6"/>
  <c r="AJ26" i="6"/>
  <c r="AS69" i="6"/>
  <c r="AM44" i="6"/>
  <c r="AI20" i="6"/>
  <c r="AP66" i="6"/>
  <c r="BD54" i="6"/>
  <c r="BK56" i="6"/>
  <c r="P58" i="6"/>
  <c r="AF47" i="6"/>
  <c r="BJ50" i="6"/>
  <c r="R30" i="6"/>
  <c r="P65" i="6"/>
  <c r="BH45" i="6"/>
  <c r="AH52" i="6"/>
  <c r="AY73" i="6"/>
  <c r="E32" i="7"/>
  <c r="X58" i="6"/>
  <c r="Z70" i="6"/>
  <c r="AI36" i="6"/>
  <c r="H50" i="6"/>
  <c r="AZ25" i="6"/>
  <c r="G24" i="6"/>
  <c r="AX47" i="6"/>
  <c r="AI42" i="6"/>
  <c r="T14" i="6"/>
  <c r="K28" i="6"/>
  <c r="BC44" i="6"/>
  <c r="E73" i="6"/>
  <c r="V23" i="6"/>
  <c r="AD37" i="6"/>
  <c r="AY79" i="6"/>
  <c r="I60" i="6"/>
  <c r="AE10" i="6"/>
  <c r="J72" i="6"/>
  <c r="AR31" i="6"/>
  <c r="BK39" i="6"/>
  <c r="X47" i="6"/>
  <c r="AE36" i="6"/>
  <c r="J77" i="6"/>
  <c r="AJ33" i="6"/>
  <c r="AC49" i="6"/>
  <c r="P27" i="6"/>
  <c r="AF30" i="6"/>
  <c r="I21" i="6"/>
  <c r="E44" i="6"/>
  <c r="T50" i="6"/>
  <c r="AX57" i="6"/>
  <c r="V45" i="6"/>
  <c r="AW46" i="6"/>
  <c r="M49" i="6"/>
  <c r="AS19" i="6"/>
  <c r="AS63" i="6"/>
  <c r="O39" i="6"/>
  <c r="K41" i="6"/>
  <c r="AD43" i="6"/>
  <c r="BI73" i="6"/>
  <c r="BI63" i="6"/>
  <c r="I49" i="6"/>
  <c r="X38" i="6"/>
  <c r="L20" i="6"/>
  <c r="P40" i="6"/>
  <c r="AI67" i="6"/>
  <c r="Q70" i="6"/>
  <c r="V62" i="6"/>
  <c r="AL10" i="6"/>
  <c r="AZ29" i="6"/>
  <c r="AN57" i="6"/>
  <c r="F45" i="6"/>
  <c r="AI79" i="6"/>
  <c r="J14" i="6"/>
  <c r="Y43" i="6"/>
  <c r="AR60" i="6"/>
  <c r="BI53" i="6"/>
  <c r="N48" i="6"/>
  <c r="Y50" i="6"/>
  <c r="AS54" i="6"/>
  <c r="G55" i="6"/>
  <c r="H11" i="6"/>
  <c r="Q14" i="6"/>
  <c r="AQ18" i="6"/>
  <c r="W13" i="6"/>
  <c r="M26" i="6"/>
  <c r="W79" i="6"/>
  <c r="AP46" i="6"/>
  <c r="AR45" i="6"/>
  <c r="AT79" i="6"/>
  <c r="M19" i="6"/>
  <c r="E70" i="6"/>
  <c r="AR13" i="6"/>
  <c r="AE41" i="6"/>
  <c r="AH65" i="6"/>
  <c r="BL71" i="6"/>
  <c r="G76" i="6"/>
  <c r="P72" i="6"/>
  <c r="I55" i="6"/>
  <c r="AK54" i="6"/>
  <c r="V71" i="6"/>
  <c r="M24" i="6"/>
  <c r="F44" i="6"/>
  <c r="Y16" i="6"/>
  <c r="R12" i="6"/>
  <c r="AG54" i="6"/>
  <c r="AT64" i="6"/>
  <c r="BJ60" i="6"/>
  <c r="G31" i="6"/>
  <c r="F54" i="6"/>
  <c r="AA79" i="6"/>
  <c r="AQ72" i="6"/>
  <c r="AA48" i="6"/>
  <c r="AN74" i="6"/>
  <c r="AE62" i="6"/>
  <c r="V48" i="6"/>
  <c r="U73" i="6"/>
  <c r="G10" i="6"/>
  <c r="BJ44" i="6"/>
  <c r="K14" i="6"/>
  <c r="BB13" i="6"/>
  <c r="R13" i="6"/>
  <c r="H81" i="6"/>
  <c r="BK54" i="6"/>
  <c r="Y39" i="6"/>
  <c r="BA59" i="6"/>
  <c r="F53" i="6"/>
  <c r="AM52" i="6"/>
  <c r="BG76" i="6"/>
  <c r="W58" i="6"/>
  <c r="W69" i="6"/>
  <c r="AG57" i="6"/>
  <c r="Z59" i="6"/>
  <c r="AR50" i="6"/>
  <c r="R77" i="6"/>
  <c r="R64" i="6"/>
  <c r="AH47" i="6"/>
  <c r="AF15" i="6"/>
  <c r="BF73" i="6"/>
  <c r="Q29" i="6"/>
  <c r="BA82" i="6"/>
  <c r="O25" i="6"/>
  <c r="AZ21" i="6"/>
  <c r="AA63" i="6"/>
  <c r="AD76" i="6"/>
  <c r="AR76" i="6"/>
  <c r="AA25" i="6"/>
  <c r="BF82" i="6"/>
  <c r="BK12" i="6"/>
  <c r="AO55" i="6"/>
  <c r="Q46" i="6"/>
  <c r="AI78" i="6"/>
  <c r="AW11" i="6"/>
  <c r="AW50" i="6"/>
  <c r="AW21" i="6"/>
  <c r="AO39" i="6"/>
  <c r="AV77" i="6"/>
  <c r="AU65" i="6"/>
  <c r="BI48" i="6"/>
  <c r="AK43" i="6"/>
  <c r="AT72" i="6"/>
  <c r="X52" i="6"/>
  <c r="G40" i="6"/>
  <c r="AJ45" i="6"/>
  <c r="R21" i="6"/>
  <c r="AV50" i="6"/>
  <c r="Z49" i="6"/>
  <c r="BL63" i="6"/>
  <c r="AZ81" i="6"/>
  <c r="AV61" i="6"/>
  <c r="AV49" i="6"/>
  <c r="X45" i="6"/>
  <c r="N69" i="6"/>
  <c r="R63" i="6"/>
  <c r="L67" i="6"/>
  <c r="AH76" i="6"/>
  <c r="Q10" i="6"/>
  <c r="BG26" i="6"/>
  <c r="AZ67" i="6"/>
  <c r="AC35" i="6"/>
  <c r="AP69" i="6"/>
  <c r="AY29" i="6"/>
  <c r="W49" i="6"/>
  <c r="G70" i="6"/>
  <c r="W48" i="6"/>
  <c r="AA29" i="6"/>
  <c r="R31" i="6"/>
  <c r="U70" i="6"/>
  <c r="AF10" i="6"/>
  <c r="Y31" i="6"/>
  <c r="P55" i="6"/>
  <c r="BB16" i="6"/>
  <c r="Z81" i="6"/>
  <c r="Y77" i="6"/>
  <c r="BI44" i="6"/>
  <c r="AI30" i="6"/>
  <c r="BJ12" i="6"/>
  <c r="AM33" i="6"/>
  <c r="I44" i="6"/>
  <c r="G72" i="6"/>
  <c r="AD35" i="6"/>
  <c r="BG46" i="6"/>
  <c r="AY62" i="6"/>
  <c r="BC53" i="6"/>
  <c r="E37" i="6"/>
  <c r="AQ26" i="6"/>
  <c r="X68" i="6"/>
  <c r="M52" i="6"/>
  <c r="BH17" i="6"/>
  <c r="G21" i="6"/>
  <c r="I17" i="6"/>
  <c r="O61" i="6"/>
  <c r="R47" i="6"/>
  <c r="BL20" i="6"/>
  <c r="AY13" i="6"/>
  <c r="BE21" i="6"/>
  <c r="AI41" i="6"/>
  <c r="X37" i="6"/>
  <c r="Z80" i="6"/>
  <c r="AC77" i="6"/>
  <c r="AJ14" i="6"/>
  <c r="N12" i="6"/>
  <c r="E47" i="6"/>
  <c r="Y42" i="6"/>
  <c r="AG78" i="6"/>
  <c r="AQ22" i="6"/>
  <c r="X73" i="6"/>
  <c r="V46" i="6"/>
  <c r="AA67" i="6"/>
  <c r="M81" i="6"/>
  <c r="L11" i="6"/>
  <c r="AF53" i="6"/>
  <c r="BB21" i="6"/>
  <c r="BB30" i="6"/>
  <c r="AQ59" i="6"/>
  <c r="G20" i="6"/>
  <c r="F79" i="6"/>
  <c r="Z48" i="6"/>
  <c r="N65" i="6"/>
  <c r="T31" i="6"/>
  <c r="AF69" i="6"/>
  <c r="AR81" i="6"/>
  <c r="Z12" i="6"/>
  <c r="AS60" i="6"/>
  <c r="AI21" i="6"/>
  <c r="AN69" i="6"/>
  <c r="M65" i="6"/>
  <c r="P24" i="6"/>
  <c r="BF21" i="6"/>
  <c r="BA32" i="6"/>
  <c r="Z35" i="6"/>
  <c r="AA70" i="6"/>
  <c r="BF74" i="6"/>
  <c r="M5" i="13"/>
  <c r="AF78" i="6"/>
  <c r="AX31" i="6"/>
  <c r="AC70" i="6"/>
  <c r="AE65" i="6"/>
  <c r="BK76" i="6"/>
  <c r="U33" i="6"/>
  <c r="AB26" i="6"/>
  <c r="BD23" i="6"/>
  <c r="U32" i="6"/>
  <c r="AB22" i="6"/>
  <c r="O51" i="6"/>
  <c r="AC36" i="6"/>
  <c r="R76" i="6"/>
  <c r="BH59" i="6"/>
  <c r="J63" i="6"/>
  <c r="AP25" i="6"/>
  <c r="U30" i="6"/>
  <c r="U22" i="6"/>
  <c r="AO78" i="6"/>
  <c r="AO71" i="6"/>
  <c r="R57" i="6"/>
  <c r="F29" i="6"/>
  <c r="K63" i="6"/>
  <c r="AB51" i="6"/>
  <c r="F78" i="6"/>
  <c r="AN72" i="6"/>
  <c r="BD75" i="6"/>
  <c r="BB64" i="6"/>
  <c r="M68" i="6"/>
  <c r="BC32" i="6"/>
  <c r="AY47" i="6"/>
  <c r="K30" i="6"/>
  <c r="N46" i="6"/>
  <c r="Q52" i="6"/>
  <c r="Y74" i="6"/>
  <c r="O14" i="6"/>
  <c r="AT63" i="6"/>
  <c r="Q58" i="6"/>
  <c r="BF35" i="6"/>
  <c r="AW80" i="6"/>
  <c r="BH25" i="6"/>
  <c r="BC80" i="6"/>
  <c r="AC61" i="6"/>
  <c r="AH69" i="6"/>
  <c r="AX30" i="6"/>
  <c r="K57" i="6"/>
  <c r="AK53" i="6"/>
  <c r="AE53" i="6"/>
  <c r="AJ57" i="6"/>
  <c r="M60" i="6"/>
  <c r="J56" i="6"/>
  <c r="H66" i="6"/>
  <c r="AF31" i="6"/>
  <c r="AE60" i="6"/>
  <c r="BI42" i="6"/>
  <c r="AR75" i="6"/>
  <c r="AX49" i="6"/>
  <c r="AW45" i="6"/>
  <c r="E75" i="6"/>
  <c r="BK49" i="6"/>
  <c r="BG79" i="6"/>
  <c r="AA49" i="6"/>
  <c r="AE78" i="6"/>
  <c r="AO64" i="6"/>
  <c r="AK67" i="6"/>
  <c r="Y54" i="6"/>
  <c r="AG66" i="6"/>
  <c r="K37" i="6"/>
  <c r="AB52" i="6"/>
  <c r="AA14" i="6"/>
  <c r="AN25" i="6"/>
  <c r="I18" i="6"/>
  <c r="AZ70" i="6"/>
  <c r="AT71" i="6"/>
  <c r="AV37" i="6"/>
  <c r="AE52" i="6"/>
  <c r="BA56" i="6"/>
  <c r="AR41" i="6"/>
  <c r="V32" i="6"/>
  <c r="AX21" i="6"/>
  <c r="BI11" i="6"/>
  <c r="AP35" i="6"/>
  <c r="AT73" i="6"/>
  <c r="AJ35" i="6"/>
  <c r="V72" i="6"/>
  <c r="BL53" i="6"/>
  <c r="T39" i="6"/>
  <c r="BG42" i="6"/>
  <c r="BC20" i="6"/>
  <c r="AQ36" i="6"/>
  <c r="AU35" i="6"/>
  <c r="AB60" i="6"/>
  <c r="AD70" i="6"/>
  <c r="AT75" i="6"/>
  <c r="BB76" i="6"/>
  <c r="BC14" i="6"/>
  <c r="Q36" i="6"/>
  <c r="BE33" i="6"/>
  <c r="BE75" i="6"/>
  <c r="T35" i="6"/>
  <c r="AC51" i="6"/>
  <c r="J62" i="6"/>
  <c r="AW63" i="6"/>
  <c r="Z73" i="6"/>
  <c r="Z76" i="6"/>
  <c r="AM65" i="6"/>
  <c r="AR63" i="6"/>
  <c r="AK58" i="6"/>
  <c r="S11" i="6"/>
  <c r="AY72" i="6"/>
  <c r="AQ17" i="6"/>
  <c r="M73" i="6"/>
  <c r="AQ43" i="6"/>
  <c r="AJ72" i="6"/>
  <c r="AQ55" i="6"/>
  <c r="AA24" i="6"/>
  <c r="AD69" i="6"/>
  <c r="U71" i="6"/>
  <c r="AC45" i="6"/>
  <c r="BL35" i="6"/>
  <c r="BD47" i="6"/>
  <c r="M15" i="6"/>
  <c r="BD18" i="6"/>
  <c r="AZ59" i="6"/>
  <c r="AS73" i="6"/>
  <c r="AS59" i="6"/>
  <c r="AM30" i="6"/>
  <c r="AU71" i="6"/>
  <c r="AU42" i="6"/>
  <c r="I57" i="6"/>
  <c r="L75" i="6"/>
  <c r="BJ45" i="6"/>
  <c r="AX51" i="6"/>
  <c r="J37" i="6"/>
  <c r="E35" i="7"/>
  <c r="AJ76" i="6"/>
  <c r="AO54" i="6"/>
  <c r="X59" i="6"/>
  <c r="W21" i="6"/>
  <c r="E69" i="6"/>
  <c r="BA69" i="6"/>
  <c r="AD18" i="6"/>
  <c r="BA51" i="6"/>
  <c r="R20" i="6"/>
  <c r="W15" i="6"/>
  <c r="AV42" i="6"/>
  <c r="BE37" i="6"/>
  <c r="J48" i="6"/>
  <c r="AY61" i="6"/>
  <c r="BC78" i="6"/>
  <c r="AC71" i="6"/>
  <c r="BD55" i="6"/>
  <c r="AH58" i="6"/>
  <c r="G32" i="6"/>
  <c r="AM38" i="6"/>
  <c r="AD10" i="6"/>
  <c r="S32" i="6"/>
  <c r="BK62" i="6"/>
  <c r="S60" i="6"/>
  <c r="V30" i="6"/>
  <c r="AV70" i="6"/>
  <c r="BF80" i="6"/>
  <c r="L15" i="6"/>
  <c r="AY64" i="6"/>
  <c r="T29" i="6"/>
  <c r="AS37" i="6"/>
  <c r="AJ12" i="6"/>
  <c r="AR43" i="6"/>
  <c r="F15" i="6"/>
  <c r="BF14" i="6"/>
  <c r="AV45" i="6"/>
  <c r="Z77" i="6"/>
  <c r="T60" i="6"/>
  <c r="AT32" i="6"/>
  <c r="AA19" i="6"/>
  <c r="AW49" i="6"/>
  <c r="AY40" i="6"/>
  <c r="AI40" i="6"/>
  <c r="BI38" i="6"/>
  <c r="AT40" i="6"/>
  <c r="Z55" i="6"/>
  <c r="BE30" i="6"/>
  <c r="AJ49" i="6"/>
  <c r="BL11" i="6"/>
  <c r="AA56" i="6"/>
  <c r="Z30" i="6"/>
  <c r="AI43" i="6"/>
  <c r="AF39" i="6"/>
  <c r="BI46" i="6"/>
  <c r="BA58" i="6"/>
  <c r="R56" i="6"/>
  <c r="AS53" i="6"/>
  <c r="AM71" i="6"/>
  <c r="AU55" i="6"/>
  <c r="BE32" i="6"/>
  <c r="AQ47" i="6"/>
  <c r="Q54" i="6"/>
  <c r="Z51" i="6"/>
  <c r="AV39" i="6"/>
  <c r="AL67" i="6"/>
  <c r="P57" i="6"/>
  <c r="AM56" i="6"/>
  <c r="AI70" i="6"/>
  <c r="M23" i="6"/>
  <c r="E52" i="6"/>
  <c r="Z52" i="6"/>
  <c r="Y26" i="6"/>
  <c r="AI39" i="6"/>
  <c r="Q65" i="6"/>
  <c r="AZ16" i="6"/>
  <c r="L32" i="6"/>
  <c r="AW39" i="6"/>
  <c r="AB14" i="6"/>
  <c r="AL21" i="6"/>
  <c r="AC41" i="6"/>
  <c r="G26" i="6"/>
  <c r="BL62" i="6"/>
  <c r="AL12" i="6"/>
  <c r="W53" i="6"/>
  <c r="E36" i="7"/>
  <c r="H16" i="6"/>
  <c r="AM82" i="6"/>
  <c r="BF78" i="6"/>
  <c r="AP37" i="6"/>
  <c r="AZ39" i="6"/>
  <c r="AT25" i="6"/>
  <c r="AR40" i="6"/>
  <c r="E46" i="7"/>
  <c r="AI18" i="6"/>
  <c r="AZ65" i="6"/>
  <c r="BK58" i="6"/>
  <c r="BC57" i="6"/>
  <c r="AP14" i="6"/>
  <c r="N33" i="6"/>
  <c r="Y71" i="6"/>
  <c r="AV13" i="6"/>
  <c r="AO27" i="6"/>
  <c r="BD38" i="6"/>
  <c r="BL72" i="6"/>
  <c r="BL37" i="6"/>
  <c r="N54" i="6"/>
  <c r="BL31" i="6"/>
  <c r="N57" i="6"/>
  <c r="H58" i="6"/>
  <c r="G47" i="6"/>
  <c r="R78" i="6"/>
  <c r="BJ56" i="6"/>
  <c r="AX11" i="6"/>
  <c r="X42" i="6"/>
  <c r="X61" i="6"/>
  <c r="H31" i="6"/>
  <c r="U16" i="6"/>
  <c r="AP78" i="6"/>
  <c r="BJ46" i="6"/>
  <c r="V26" i="6"/>
  <c r="P42" i="6"/>
  <c r="AC46" i="6"/>
  <c r="AY31" i="6"/>
  <c r="F43" i="6"/>
  <c r="AR62" i="6"/>
  <c r="AW66" i="6"/>
  <c r="AX17" i="6"/>
  <c r="AZ56" i="6"/>
  <c r="AZ48" i="6"/>
  <c r="S29" i="6"/>
  <c r="BB71" i="6"/>
  <c r="AG82" i="6"/>
  <c r="AY71" i="6"/>
  <c r="L25" i="6"/>
  <c r="AH51" i="6"/>
  <c r="BB28" i="6"/>
  <c r="AO50" i="6"/>
  <c r="AC11" i="6"/>
  <c r="M39" i="6"/>
  <c r="AB77" i="6"/>
  <c r="AD40" i="6"/>
  <c r="BE60" i="6"/>
  <c r="BJ17" i="6"/>
  <c r="AW19" i="6"/>
  <c r="BF72" i="6"/>
  <c r="AJ39" i="6"/>
  <c r="T44" i="6"/>
  <c r="AZ69" i="6"/>
  <c r="AI59" i="6"/>
  <c r="AT28" i="6"/>
  <c r="AZ42" i="6"/>
  <c r="AA11" i="6"/>
  <c r="AP55" i="6"/>
  <c r="AH28" i="6"/>
  <c r="L60" i="6"/>
  <c r="L53" i="6"/>
  <c r="G15" i="6"/>
  <c r="AF23" i="6"/>
  <c r="Y59" i="6"/>
  <c r="J51" i="6"/>
  <c r="M78" i="6"/>
  <c r="E53" i="6"/>
  <c r="R34" i="6"/>
  <c r="G59" i="6"/>
  <c r="N16" i="6"/>
  <c r="AQ66" i="6"/>
  <c r="X55" i="6"/>
  <c r="O46" i="6"/>
  <c r="BC38" i="6"/>
  <c r="Z56" i="6"/>
  <c r="T11" i="6"/>
  <c r="AH39" i="6"/>
  <c r="E34" i="7"/>
  <c r="AL50" i="6"/>
  <c r="H51" i="6"/>
  <c r="AD80" i="6"/>
  <c r="AE58" i="6"/>
  <c r="AJ66" i="6"/>
  <c r="O56" i="6"/>
  <c r="AV69" i="6"/>
  <c r="AG74" i="6"/>
  <c r="K27" i="6"/>
  <c r="W31" i="6"/>
  <c r="AP17" i="6"/>
  <c r="AN49" i="6"/>
  <c r="AH82" i="6"/>
  <c r="AP79" i="6"/>
  <c r="AD50" i="6"/>
  <c r="BH54" i="6"/>
  <c r="J52" i="6"/>
  <c r="R73" i="6"/>
  <c r="AC26" i="6"/>
  <c r="AS20" i="6"/>
  <c r="BI66" i="6"/>
  <c r="AH73" i="6"/>
  <c r="J46" i="6"/>
  <c r="P17" i="6"/>
  <c r="BH16" i="6"/>
  <c r="AH61" i="6"/>
  <c r="AF44" i="6"/>
  <c r="AO23" i="6"/>
  <c r="J26" i="6"/>
  <c r="J47" i="6"/>
  <c r="AB58" i="6"/>
  <c r="AV79" i="6"/>
  <c r="AG29" i="6"/>
  <c r="AP43" i="6"/>
  <c r="O62" i="6"/>
  <c r="AJ81" i="6"/>
  <c r="R17" i="6"/>
  <c r="X35" i="6"/>
  <c r="AV41" i="6"/>
  <c r="AI28" i="6"/>
  <c r="AC72" i="6"/>
  <c r="AX56" i="6"/>
  <c r="BF62" i="6"/>
  <c r="J29" i="6"/>
  <c r="BC76" i="6"/>
  <c r="P78" i="6"/>
  <c r="BI51" i="6"/>
  <c r="AQ46" i="6"/>
  <c r="BC28" i="6"/>
  <c r="K56" i="6"/>
  <c r="BB27" i="6"/>
  <c r="BA61" i="6"/>
  <c r="X25" i="6"/>
  <c r="AW72" i="6"/>
  <c r="I62" i="6"/>
  <c r="AC23" i="6"/>
  <c r="N64" i="6"/>
  <c r="AQ73" i="6"/>
  <c r="AH11" i="6"/>
  <c r="AK81" i="6"/>
  <c r="AQ56" i="6"/>
  <c r="AF42" i="6"/>
  <c r="BL78" i="6"/>
  <c r="J13" i="6"/>
  <c r="E12" i="8"/>
  <c r="N18" i="6"/>
  <c r="S27" i="6"/>
  <c r="P18" i="6"/>
  <c r="H32" i="6"/>
  <c r="L57" i="6"/>
  <c r="AM15" i="6"/>
  <c r="S53" i="6"/>
  <c r="AO49" i="6"/>
  <c r="AL57" i="6"/>
  <c r="BI69" i="6"/>
  <c r="Y21" i="6"/>
  <c r="AN55" i="6"/>
  <c r="S39" i="6"/>
  <c r="AH77" i="6"/>
  <c r="AO82" i="6"/>
  <c r="AN28" i="6"/>
  <c r="E25" i="6"/>
  <c r="I15" i="6"/>
  <c r="W75" i="6"/>
  <c r="S47" i="6"/>
  <c r="M31" i="6"/>
  <c r="BD12" i="6"/>
  <c r="AF40" i="6"/>
  <c r="X63" i="6"/>
  <c r="AC68" i="6"/>
  <c r="BE63" i="6"/>
  <c r="AC28" i="6"/>
  <c r="S13" i="6"/>
  <c r="N25" i="6"/>
  <c r="BF52" i="6"/>
  <c r="AY63" i="6"/>
  <c r="AN35" i="6"/>
  <c r="BC54" i="6"/>
  <c r="V41" i="6"/>
  <c r="AP77" i="6"/>
  <c r="N73" i="6"/>
  <c r="BB67" i="6"/>
  <c r="O70" i="6"/>
  <c r="BD53" i="6"/>
  <c r="BC74" i="6"/>
  <c r="AC21" i="6"/>
  <c r="Q34" i="6"/>
  <c r="AR12" i="6"/>
  <c r="AQ64" i="6"/>
  <c r="Y40" i="6"/>
  <c r="AO18" i="6"/>
  <c r="BI18" i="6"/>
  <c r="AI62" i="6"/>
  <c r="M16" i="6"/>
  <c r="Q43" i="6"/>
  <c r="AF38" i="6"/>
  <c r="E26" i="6"/>
  <c r="K10" i="6"/>
  <c r="I19" i="6"/>
  <c r="AQ19" i="6"/>
  <c r="T41" i="6"/>
  <c r="BL44" i="6"/>
  <c r="AS79" i="6"/>
  <c r="H34" i="6"/>
  <c r="BI54" i="6"/>
  <c r="AL28" i="6"/>
  <c r="AI15" i="6"/>
  <c r="Y46" i="6"/>
  <c r="BD43" i="6"/>
  <c r="BC65" i="6"/>
  <c r="AJ29" i="6"/>
  <c r="BC11" i="6"/>
  <c r="W63" i="6"/>
  <c r="BL22" i="6"/>
  <c r="AL22" i="6"/>
  <c r="BL64" i="6"/>
  <c r="AM36" i="6"/>
  <c r="AD58" i="6"/>
  <c r="S22" i="6"/>
  <c r="BF63" i="6"/>
  <c r="BH38" i="6"/>
  <c r="E39" i="7"/>
  <c r="AN41" i="6"/>
  <c r="M58" i="6"/>
  <c r="AP53" i="6"/>
  <c r="BA17" i="6"/>
  <c r="I27" i="6"/>
  <c r="H15" i="6"/>
  <c r="O64" i="6"/>
  <c r="AY27" i="6"/>
  <c r="E76" i="6"/>
  <c r="BH69" i="6"/>
  <c r="I24" i="6"/>
  <c r="BF69" i="6"/>
  <c r="BK35" i="6"/>
  <c r="AK28" i="6"/>
  <c r="BA39" i="6"/>
  <c r="G16" i="6"/>
  <c r="BC68" i="6"/>
  <c r="L55" i="6"/>
  <c r="AL55" i="6"/>
  <c r="BB40" i="6"/>
  <c r="AF49" i="6"/>
  <c r="H78" i="6"/>
  <c r="O38" i="6"/>
  <c r="AL39" i="6"/>
  <c r="X72" i="6"/>
  <c r="AN38" i="6"/>
  <c r="BD36" i="6"/>
  <c r="L79" i="6"/>
  <c r="N45" i="6"/>
  <c r="W46" i="6"/>
  <c r="AF56" i="6"/>
  <c r="AM25" i="6"/>
  <c r="Y60" i="6"/>
  <c r="V27" i="6"/>
  <c r="I28" i="6"/>
  <c r="N68" i="6"/>
  <c r="AI49" i="6"/>
  <c r="AH24" i="6"/>
  <c r="BG43" i="6"/>
  <c r="H63" i="6"/>
  <c r="AP73" i="6"/>
  <c r="BK53" i="6"/>
  <c r="AV55" i="6"/>
  <c r="BC60" i="6"/>
  <c r="BJ63" i="6"/>
  <c r="AU53" i="6"/>
  <c r="AK11" i="6"/>
  <c r="AK50" i="6"/>
  <c r="W60" i="6"/>
  <c r="P82" i="6"/>
  <c r="BK19" i="6"/>
  <c r="BC59" i="6"/>
  <c r="AF67" i="6"/>
  <c r="AM23" i="6"/>
  <c r="M72" i="6"/>
  <c r="BJ15" i="6"/>
  <c r="AS57" i="6"/>
  <c r="BJ35" i="6"/>
  <c r="E14" i="6"/>
  <c r="AN33" i="6"/>
  <c r="X79" i="6"/>
  <c r="R33" i="6"/>
  <c r="H62" i="6"/>
  <c r="Q79" i="6"/>
  <c r="J11" i="6"/>
  <c r="AI45" i="6"/>
  <c r="X13" i="6"/>
  <c r="AF25" i="6"/>
  <c r="AS81" i="6"/>
  <c r="BC81" i="6"/>
  <c r="AJ54" i="6"/>
  <c r="BF40" i="6"/>
  <c r="Z75" i="6"/>
  <c r="P74" i="6"/>
  <c r="X43" i="6"/>
  <c r="BJ32" i="6"/>
  <c r="BG56" i="6"/>
  <c r="AD60" i="6"/>
  <c r="AB53" i="6"/>
  <c r="BI28" i="6"/>
  <c r="AE57" i="6"/>
  <c r="U76" i="6"/>
  <c r="AG55" i="6"/>
  <c r="H76" i="6"/>
  <c r="AX19" i="6"/>
  <c r="AK44" i="6"/>
  <c r="AE70" i="6"/>
  <c r="U66" i="6"/>
  <c r="I66" i="6"/>
  <c r="BF55" i="6"/>
  <c r="AA62" i="6"/>
  <c r="AD33" i="6"/>
  <c r="W10" i="6"/>
  <c r="AT19" i="6"/>
  <c r="Y70" i="6"/>
  <c r="BB15" i="6"/>
  <c r="BG78" i="6"/>
  <c r="AV81" i="6"/>
  <c r="AA40" i="6"/>
  <c r="BH35" i="6"/>
  <c r="BL21" i="6"/>
  <c r="AV12" i="6"/>
  <c r="Y73" i="6"/>
  <c r="AW25" i="6"/>
  <c r="BH21" i="6"/>
  <c r="AW33" i="6"/>
  <c r="BA65" i="6"/>
  <c r="AA55" i="6"/>
  <c r="AD14" i="6"/>
  <c r="AL78" i="6"/>
  <c r="BI24" i="6"/>
  <c r="AQ81" i="6"/>
  <c r="AJ79" i="6"/>
  <c r="AJ53" i="6"/>
  <c r="T37" i="6"/>
  <c r="AY82" i="6"/>
  <c r="V55" i="6"/>
  <c r="G66" i="6"/>
  <c r="BE20" i="6"/>
  <c r="BG62" i="6"/>
  <c r="BL51" i="6"/>
  <c r="R81" i="6"/>
  <c r="K64" i="6"/>
  <c r="L71" i="6"/>
  <c r="AE16" i="6"/>
  <c r="G27" i="6"/>
  <c r="AI66" i="6"/>
  <c r="S65" i="6"/>
  <c r="BK32" i="6"/>
  <c r="AE29" i="6"/>
  <c r="U78" i="6"/>
  <c r="AY49" i="6"/>
  <c r="AU43" i="6"/>
  <c r="AD11" i="6"/>
  <c r="P53" i="6"/>
  <c r="AH20" i="6"/>
  <c r="U77" i="6"/>
  <c r="T40" i="6"/>
  <c r="AU10" i="6"/>
  <c r="O55" i="6"/>
  <c r="BK75" i="6"/>
  <c r="AX60" i="6"/>
  <c r="Z47" i="6"/>
  <c r="G68" i="6"/>
  <c r="N78" i="6"/>
  <c r="O47" i="6"/>
  <c r="Z65" i="6"/>
  <c r="AZ38" i="6"/>
  <c r="BF68" i="6"/>
  <c r="BC24" i="6"/>
  <c r="AZ31" i="6"/>
  <c r="BG36" i="6"/>
  <c r="AV76" i="6"/>
  <c r="P77" i="6"/>
  <c r="G28" i="6"/>
  <c r="O49" i="6"/>
  <c r="AF74" i="6"/>
  <c r="AC13" i="6"/>
  <c r="AT11" i="6"/>
  <c r="AC30" i="6"/>
  <c r="W39" i="6"/>
  <c r="BH81" i="6"/>
  <c r="BF10" i="6"/>
  <c r="R28" i="6"/>
  <c r="AO75" i="6"/>
  <c r="O53" i="6"/>
  <c r="AQ45" i="6"/>
  <c r="AZ34" i="6"/>
  <c r="AL14" i="6"/>
  <c r="AI57" i="6"/>
  <c r="AW70" i="6"/>
  <c r="BK67" i="6"/>
  <c r="AM73" i="6"/>
  <c r="R24" i="6"/>
  <c r="AS74" i="6"/>
  <c r="AU69" i="6"/>
  <c r="BC35" i="6"/>
  <c r="V80" i="6"/>
  <c r="AX68" i="6"/>
  <c r="AO80" i="6"/>
  <c r="K32" i="6"/>
  <c r="L62" i="6"/>
  <c r="AU61" i="6"/>
  <c r="BD51" i="6"/>
  <c r="AG14" i="6"/>
  <c r="Y81" i="6"/>
  <c r="E41" i="6"/>
  <c r="BC77" i="6"/>
  <c r="BD26" i="6"/>
  <c r="Q28" i="6"/>
  <c r="W32" i="6"/>
  <c r="BD22" i="6"/>
  <c r="S12" i="6"/>
  <c r="BE82" i="6"/>
  <c r="AN52" i="6"/>
  <c r="AV21" i="6"/>
  <c r="AG56" i="6"/>
  <c r="BI27" i="6"/>
  <c r="BJ24" i="6"/>
  <c r="S48" i="6"/>
  <c r="AU60" i="6"/>
  <c r="BH53" i="6"/>
  <c r="I45" i="6"/>
  <c r="AO77" i="6"/>
  <c r="N50" i="6"/>
  <c r="AI25" i="6"/>
  <c r="AU19" i="6"/>
  <c r="E71" i="6"/>
  <c r="AI74" i="6"/>
  <c r="BK15" i="6"/>
  <c r="Q12" i="6"/>
  <c r="BE23" i="6"/>
  <c r="N44" i="6"/>
  <c r="AI60" i="6"/>
  <c r="AT60" i="6"/>
  <c r="AO70" i="6"/>
  <c r="Y58" i="6"/>
  <c r="AW60" i="6"/>
  <c r="AH22" i="6"/>
  <c r="AX81" i="6"/>
  <c r="AD13" i="6"/>
  <c r="G61" i="6"/>
  <c r="BL68" i="6"/>
  <c r="O75" i="6"/>
  <c r="AX54" i="6"/>
  <c r="AM59" i="6"/>
  <c r="E36" i="6"/>
  <c r="Z29" i="6"/>
  <c r="M54" i="6"/>
  <c r="K74" i="6"/>
  <c r="L43" i="6"/>
  <c r="H64" i="6"/>
  <c r="S56" i="6"/>
  <c r="AD27" i="6"/>
  <c r="AF66" i="6"/>
  <c r="AN13" i="6"/>
  <c r="Z58" i="6"/>
  <c r="G30" i="6"/>
  <c r="BG63" i="6"/>
  <c r="AJ42" i="6"/>
  <c r="AQ27" i="6"/>
  <c r="AC43" i="6"/>
  <c r="BL41" i="6"/>
  <c r="AD63" i="6"/>
  <c r="AW58" i="6"/>
  <c r="AX70" i="6"/>
  <c r="G52" i="6"/>
  <c r="T54" i="6"/>
  <c r="V11" i="6"/>
  <c r="AV51" i="6"/>
  <c r="S69" i="6"/>
  <c r="BG21" i="6"/>
  <c r="BD39" i="6"/>
  <c r="AM76" i="6"/>
  <c r="BH74" i="6"/>
  <c r="AE69" i="6"/>
  <c r="AM48" i="6"/>
  <c r="Q11" i="6"/>
  <c r="BE45" i="6"/>
  <c r="BH31" i="6"/>
  <c r="W47" i="6"/>
  <c r="H74" i="6"/>
  <c r="BA42" i="6"/>
  <c r="X77" i="6"/>
  <c r="E11" i="8"/>
  <c r="AV36" i="6"/>
  <c r="AG35" i="6"/>
  <c r="BK74" i="6"/>
  <c r="BE80" i="6"/>
  <c r="BG77" i="6"/>
  <c r="AW59" i="6"/>
  <c r="AC78" i="6"/>
  <c r="AM54" i="6"/>
  <c r="Q74" i="6"/>
  <c r="Y25" i="6"/>
  <c r="AI76" i="6"/>
  <c r="BD72" i="6"/>
  <c r="E19" i="7"/>
  <c r="BB50" i="6"/>
  <c r="AD67" i="6"/>
  <c r="F52" i="6"/>
  <c r="BD37" i="6"/>
  <c r="AL46" i="6"/>
  <c r="P10" i="6"/>
  <c r="BG50" i="6"/>
  <c r="AT20" i="6"/>
  <c r="AX25" i="6"/>
  <c r="Y37" i="6"/>
  <c r="AX32" i="6"/>
  <c r="AW36" i="6"/>
  <c r="E17" i="6"/>
  <c r="R50" i="6"/>
  <c r="I26" i="6"/>
  <c r="Q25" i="6"/>
  <c r="AC69" i="6"/>
  <c r="AM16" i="6"/>
  <c r="AO19" i="6"/>
  <c r="AP60" i="6"/>
  <c r="AH68" i="6"/>
  <c r="BA43" i="6"/>
  <c r="H35" i="6"/>
  <c r="AC55" i="6"/>
  <c r="M76" i="6"/>
  <c r="H67" i="6"/>
  <c r="X74" i="6"/>
  <c r="BI70" i="6"/>
  <c r="AR73" i="6"/>
  <c r="BK44" i="6"/>
  <c r="BH24" i="6"/>
  <c r="AG11" i="6"/>
  <c r="AA72" i="6"/>
  <c r="AM63" i="6"/>
  <c r="BL34" i="6"/>
  <c r="AZ73" i="6"/>
  <c r="S30" i="6"/>
  <c r="AT38" i="6"/>
  <c r="Q63" i="6"/>
  <c r="AF37" i="6"/>
  <c r="X48" i="6"/>
  <c r="AA76" i="6"/>
  <c r="AW62" i="6"/>
  <c r="AK29" i="6"/>
  <c r="M62" i="6"/>
  <c r="BD19" i="6"/>
  <c r="N38" i="6"/>
  <c r="J35" i="6"/>
  <c r="P73" i="6"/>
  <c r="M36" i="6"/>
  <c r="X24" i="6"/>
  <c r="BB19" i="6"/>
  <c r="X28" i="6"/>
  <c r="AH23" i="6"/>
  <c r="R65" i="6"/>
  <c r="BK37" i="6"/>
  <c r="BI37" i="6"/>
  <c r="S33" i="6"/>
  <c r="AP22" i="6"/>
  <c r="G17" i="6"/>
  <c r="F28" i="6"/>
  <c r="AF64" i="6"/>
  <c r="BE22" i="6"/>
  <c r="X81" i="6"/>
  <c r="BJ48" i="6"/>
  <c r="L65" i="6"/>
  <c r="AG53" i="6"/>
  <c r="W80" i="6"/>
  <c r="AP51" i="6"/>
  <c r="AU30" i="6"/>
  <c r="AZ20" i="6"/>
  <c r="BF75" i="6"/>
  <c r="AV20" i="6"/>
  <c r="P56" i="6"/>
  <c r="V16" i="6"/>
  <c r="AF65" i="6"/>
  <c r="AQ31" i="6"/>
  <c r="AJ46" i="6"/>
  <c r="AL82" i="6"/>
  <c r="W61" i="6"/>
  <c r="T70" i="6"/>
  <c r="W77" i="6"/>
  <c r="BK23" i="6"/>
  <c r="AX13" i="6"/>
  <c r="K75" i="6"/>
  <c r="BL14" i="6"/>
  <c r="AM79" i="6"/>
  <c r="J25" i="6"/>
  <c r="AU34" i="6"/>
  <c r="AC65" i="6"/>
  <c r="E42" i="6"/>
  <c r="BJ82" i="6"/>
  <c r="BG49" i="6"/>
  <c r="AL40" i="6"/>
  <c r="BA57" i="6"/>
  <c r="F65" i="6"/>
  <c r="AK20" i="6"/>
  <c r="BD24" i="6"/>
  <c r="W73" i="6"/>
  <c r="AP61" i="6"/>
  <c r="AT76" i="6"/>
  <c r="T76" i="6"/>
  <c r="AQ35" i="6"/>
  <c r="U64" i="6"/>
  <c r="BG37" i="6"/>
  <c r="Y23" i="6"/>
  <c r="E33" i="6"/>
  <c r="M30" i="6"/>
  <c r="AI82" i="6"/>
  <c r="Z31" i="6"/>
  <c r="AP52" i="6"/>
  <c r="AJ77" i="6"/>
  <c r="O43" i="6"/>
  <c r="AU29" i="6"/>
  <c r="AY80" i="6"/>
  <c r="AD59" i="6"/>
  <c r="BE51" i="6"/>
  <c r="AR59" i="6"/>
  <c r="BL16" i="6"/>
  <c r="G29" i="6"/>
  <c r="BD21" i="6"/>
  <c r="AC62" i="6"/>
  <c r="BB56" i="6"/>
  <c r="U42" i="6"/>
  <c r="AX62" i="6"/>
  <c r="AP58" i="6"/>
  <c r="AH33" i="6"/>
  <c r="BE69" i="6"/>
  <c r="AT13" i="6"/>
  <c r="BA52" i="6"/>
  <c r="X15" i="6"/>
  <c r="G82" i="6"/>
  <c r="V33" i="6"/>
  <c r="H41" i="6"/>
  <c r="R39" i="6"/>
  <c r="AJ64" i="6"/>
  <c r="O30" i="6"/>
  <c r="AX48" i="6"/>
  <c r="Z17" i="6"/>
  <c r="BG22" i="6"/>
  <c r="AF50" i="6"/>
  <c r="AR48" i="6"/>
  <c r="AN48" i="6"/>
  <c r="BF67" i="6"/>
  <c r="AZ71" i="6"/>
  <c r="AV46" i="6"/>
  <c r="AD56" i="6"/>
  <c r="AB62" i="6"/>
  <c r="AO33" i="6"/>
  <c r="AT77" i="6"/>
  <c r="O16" i="6"/>
  <c r="BC10" i="6"/>
  <c r="T30" i="6"/>
  <c r="BL61" i="6"/>
  <c r="Q56" i="6"/>
  <c r="F66" i="6"/>
  <c r="AU17" i="6"/>
  <c r="BH51" i="6"/>
  <c r="W24" i="6"/>
  <c r="AJ40" i="6"/>
  <c r="S28" i="6"/>
  <c r="AP59" i="6"/>
  <c r="BG70" i="6"/>
  <c r="BF65" i="6"/>
  <c r="AP68" i="6"/>
  <c r="AR52" i="6"/>
  <c r="AR78" i="6"/>
  <c r="AN45" i="6"/>
  <c r="AD32" i="6"/>
  <c r="X39" i="6"/>
  <c r="S31" i="6"/>
  <c r="X78" i="6"/>
  <c r="AL17" i="6"/>
  <c r="AC76" i="6"/>
  <c r="K31" i="6"/>
  <c r="S81" i="6"/>
  <c r="AJ43" i="6"/>
  <c r="Q72" i="6"/>
  <c r="J79" i="6"/>
  <c r="AB27" i="6"/>
  <c r="L44" i="6"/>
  <c r="M47" i="6"/>
  <c r="AC82" i="6"/>
  <c r="Q32" i="6"/>
  <c r="AS28" i="6"/>
  <c r="BG75" i="6"/>
  <c r="V28" i="6"/>
  <c r="AN78" i="6"/>
  <c r="F59" i="6"/>
  <c r="AP24" i="6"/>
  <c r="R52" i="6"/>
  <c r="X60" i="6"/>
  <c r="BI82" i="6"/>
  <c r="BG12" i="6"/>
  <c r="Q20" i="6"/>
  <c r="K68" i="6"/>
  <c r="BH29" i="6"/>
  <c r="BD11" i="6"/>
  <c r="U62" i="6"/>
  <c r="BF45" i="6"/>
  <c r="BJ10" i="6"/>
  <c r="AY58" i="6"/>
  <c r="AR77" i="6"/>
  <c r="AS55" i="6"/>
  <c r="BA66" i="6"/>
  <c r="AP44" i="6"/>
  <c r="F80" i="6"/>
  <c r="M66" i="6"/>
  <c r="S71" i="6"/>
  <c r="BI12" i="6"/>
  <c r="AM78" i="6"/>
  <c r="BD65" i="6"/>
  <c r="AB72" i="6"/>
  <c r="BG33" i="6"/>
  <c r="BK46" i="6"/>
  <c r="AL73" i="6"/>
  <c r="K23" i="6"/>
  <c r="AV68" i="6"/>
  <c r="F68" i="6"/>
  <c r="AH34" i="6"/>
  <c r="AL74" i="6"/>
  <c r="BG60" i="6"/>
  <c r="BC55" i="6"/>
  <c r="AV18" i="6"/>
  <c r="AK63" i="6"/>
  <c r="Z82" i="6"/>
  <c r="T20" i="6"/>
  <c r="BF60" i="6"/>
  <c r="S74" i="6"/>
  <c r="X18" i="6"/>
  <c r="AS29" i="6"/>
  <c r="BJ49" i="6"/>
  <c r="F36" i="6"/>
  <c r="BJ23" i="6"/>
  <c r="S25" i="6"/>
  <c r="O23" i="6"/>
  <c r="R38" i="6"/>
  <c r="BL79" i="6"/>
  <c r="AP36" i="6"/>
  <c r="F11" i="6"/>
  <c r="AR66" i="6"/>
  <c r="F50" i="6"/>
  <c r="O69" i="6"/>
  <c r="I72" i="6"/>
  <c r="AZ78" i="6"/>
  <c r="BG44" i="6"/>
  <c r="AI35" i="6"/>
  <c r="AN43" i="6"/>
  <c r="BJ75" i="6"/>
  <c r="AM18" i="6"/>
  <c r="AM10" i="6"/>
  <c r="AT18" i="6"/>
  <c r="BH61" i="6"/>
  <c r="AI61" i="6"/>
  <c r="X16" i="6"/>
  <c r="AD72" i="6"/>
  <c r="BK78" i="6"/>
  <c r="BC41" i="6"/>
  <c r="N41" i="6"/>
  <c r="S70" i="6"/>
  <c r="AQ29" i="6"/>
  <c r="V56" i="6"/>
  <c r="AB49" i="6"/>
  <c r="AG36" i="6"/>
  <c r="H59" i="6"/>
  <c r="AP39" i="6"/>
  <c r="AX14" i="6"/>
  <c r="BD30" i="6"/>
  <c r="AV24" i="6"/>
  <c r="Y17" i="6"/>
  <c r="BA21" i="6"/>
  <c r="X40" i="6"/>
  <c r="AL53" i="6"/>
  <c r="BL70" i="6"/>
  <c r="AC73" i="6"/>
  <c r="BA24" i="6"/>
  <c r="AE39" i="6"/>
  <c r="E39" i="6"/>
  <c r="BK48" i="6"/>
  <c r="AE81" i="6"/>
  <c r="W40" i="6"/>
  <c r="BL29" i="6"/>
  <c r="AI29" i="6"/>
  <c r="AN15" i="6"/>
  <c r="BE41" i="6"/>
  <c r="O22" i="6"/>
  <c r="AT58" i="6"/>
  <c r="I80" i="6"/>
  <c r="N29" i="6"/>
  <c r="AS31" i="6"/>
  <c r="AS61" i="6"/>
  <c r="O20" i="6"/>
  <c r="AE49" i="6"/>
  <c r="AN27" i="6"/>
  <c r="BH18" i="6"/>
  <c r="T62" i="6"/>
  <c r="S46" i="6"/>
  <c r="K59" i="6"/>
  <c r="AE47" i="6"/>
  <c r="BD74" i="6"/>
  <c r="BH49" i="6"/>
  <c r="N37" i="6"/>
  <c r="AG43" i="6"/>
  <c r="BH67" i="6"/>
  <c r="M55" i="6"/>
  <c r="D25" i="6" l="1"/>
  <c r="D70" i="6"/>
  <c r="D73" i="6"/>
  <c r="D38" i="6"/>
  <c r="D29" i="6"/>
  <c r="D14" i="6"/>
  <c r="D36" i="6"/>
  <c r="D26" i="6"/>
  <c r="D39" i="6"/>
  <c r="D13" i="6"/>
  <c r="D78" i="6"/>
  <c r="K38" i="7"/>
  <c r="F38" i="7"/>
  <c r="D59" i="6"/>
  <c r="K33" i="7"/>
  <c r="F33" i="7"/>
  <c r="D47" i="6"/>
  <c r="D81" i="6"/>
  <c r="D76" i="6"/>
  <c r="K35" i="7"/>
  <c r="F35" i="7"/>
  <c r="F13" i="7"/>
  <c r="K13" i="7"/>
  <c r="K26" i="7"/>
  <c r="L15" i="15" s="1"/>
  <c r="E15" i="15" s="1"/>
  <c r="F26" i="7"/>
  <c r="D82" i="6"/>
  <c r="D51" i="6"/>
  <c r="K40" i="7"/>
  <c r="F40" i="7"/>
  <c r="K37" i="7"/>
  <c r="F37" i="7"/>
  <c r="D27" i="6"/>
  <c r="E35" i="15"/>
  <c r="K11" i="7"/>
  <c r="J25" i="14"/>
  <c r="K25" i="14" s="1"/>
  <c r="F11" i="7"/>
  <c r="D77" i="6"/>
  <c r="K12" i="8"/>
  <c r="F12" i="8"/>
  <c r="D52" i="6"/>
  <c r="K28" i="7"/>
  <c r="F28" i="7"/>
  <c r="K12" i="7"/>
  <c r="F12" i="7"/>
  <c r="M31" i="8"/>
  <c r="N11" i="15"/>
  <c r="K47" i="7"/>
  <c r="L28" i="15"/>
  <c r="E28" i="15" s="1"/>
  <c r="F47" i="7"/>
  <c r="K31" i="7"/>
  <c r="F31" i="7"/>
  <c r="K32" i="7"/>
  <c r="F32" i="7"/>
  <c r="F41" i="7"/>
  <c r="K41" i="7"/>
  <c r="D62" i="6"/>
  <c r="D42" i="6"/>
  <c r="D31" i="6"/>
  <c r="K33" i="8"/>
  <c r="F33" i="8"/>
  <c r="F10" i="7"/>
  <c r="E21" i="7"/>
  <c r="K10" i="7"/>
  <c r="L20" i="15"/>
  <c r="E20" i="15" s="1"/>
  <c r="N73" i="30"/>
  <c r="D18" i="6"/>
  <c r="D74" i="6"/>
  <c r="K14" i="7"/>
  <c r="F14" i="7"/>
  <c r="D41" i="6"/>
  <c r="F46" i="7"/>
  <c r="L26" i="15"/>
  <c r="E26" i="15" s="1"/>
  <c r="E55" i="7"/>
  <c r="E59" i="7" s="1"/>
  <c r="K46" i="7"/>
  <c r="E25" i="8"/>
  <c r="E24" i="8"/>
  <c r="E17" i="8"/>
  <c r="E20" i="8"/>
  <c r="E22" i="8"/>
  <c r="E19" i="8"/>
  <c r="E18" i="8"/>
  <c r="E21" i="8"/>
  <c r="E23" i="8"/>
  <c r="E16" i="8"/>
  <c r="D50" i="6"/>
  <c r="F34" i="8"/>
  <c r="K34" i="8"/>
  <c r="D30" i="6"/>
  <c r="F29" i="7"/>
  <c r="K29" i="7"/>
  <c r="L16" i="15"/>
  <c r="E16" i="15" s="1"/>
  <c r="D11" i="6"/>
  <c r="D34" i="6"/>
  <c r="D20" i="6"/>
  <c r="D22" i="6"/>
  <c r="F10" i="8"/>
  <c r="M21" i="30"/>
  <c r="K10" i="8"/>
  <c r="E13" i="8"/>
  <c r="D16" i="6"/>
  <c r="D45" i="6"/>
  <c r="D55" i="6"/>
  <c r="D75" i="6"/>
  <c r="D37" i="6"/>
  <c r="D44" i="6"/>
  <c r="K13" i="25" s="1"/>
  <c r="D35" i="6"/>
  <c r="D15" i="6"/>
  <c r="D54" i="6"/>
  <c r="D67" i="6"/>
  <c r="L27" i="15"/>
  <c r="E27" i="15" s="1"/>
  <c r="K17" i="7"/>
  <c r="F17" i="7"/>
  <c r="O11" i="15"/>
  <c r="N31" i="8"/>
  <c r="D56" i="6"/>
  <c r="D71" i="6"/>
  <c r="D58" i="6"/>
  <c r="F18" i="7"/>
  <c r="K18" i="7"/>
  <c r="L22" i="15"/>
  <c r="E22" i="15" s="1"/>
  <c r="O73" i="30"/>
  <c r="D49" i="6"/>
  <c r="D79" i="6"/>
  <c r="D32" i="6"/>
  <c r="D61" i="6"/>
  <c r="D17" i="6"/>
  <c r="D53" i="6"/>
  <c r="D63" i="6"/>
  <c r="S21" i="30"/>
  <c r="F32" i="8"/>
  <c r="K32" i="8"/>
  <c r="K31" i="8"/>
  <c r="R21" i="30"/>
  <c r="R22" i="30" s="1"/>
  <c r="R23" i="30" s="1"/>
  <c r="R24" i="30" s="1"/>
  <c r="R53" i="30" s="1"/>
  <c r="E35" i="8"/>
  <c r="L11" i="15"/>
  <c r="E11" i="15" s="1"/>
  <c r="D48" i="6"/>
  <c r="F11" i="16"/>
  <c r="D11" i="16"/>
  <c r="E43" i="7"/>
  <c r="N13" i="30" s="1"/>
  <c r="F25" i="7"/>
  <c r="K25" i="7"/>
  <c r="D46" i="6"/>
  <c r="K39" i="7"/>
  <c r="F39" i="7"/>
  <c r="F19" i="7"/>
  <c r="K19" i="7"/>
  <c r="K34" i="7"/>
  <c r="F34" i="7"/>
  <c r="D69" i="6"/>
  <c r="D12" i="6"/>
  <c r="D80" i="6"/>
  <c r="K15" i="7"/>
  <c r="L13" i="15" s="1"/>
  <c r="E13" i="15" s="1"/>
  <c r="F15" i="7"/>
  <c r="D40" i="6"/>
  <c r="K27" i="7"/>
  <c r="L14" i="15" s="1"/>
  <c r="E14" i="15" s="1"/>
  <c r="F27" i="7"/>
  <c r="D60" i="6"/>
  <c r="D57" i="6"/>
  <c r="D23" i="6"/>
  <c r="D64" i="6"/>
  <c r="K16" i="7"/>
  <c r="F16" i="7"/>
  <c r="D12" i="16"/>
  <c r="F12" i="16"/>
  <c r="D66" i="6"/>
  <c r="D68" i="6"/>
  <c r="D72" i="6"/>
  <c r="K36" i="7"/>
  <c r="F36" i="7"/>
  <c r="M11" i="15"/>
  <c r="L31" i="8"/>
  <c r="D33" i="6"/>
  <c r="F11" i="8"/>
  <c r="K11" i="8"/>
  <c r="N21" i="30"/>
  <c r="D10" i="6"/>
  <c r="D65" i="6"/>
  <c r="D21" i="6"/>
  <c r="D19" i="6"/>
  <c r="D24" i="6"/>
  <c r="F30" i="7"/>
  <c r="K30" i="7"/>
  <c r="D28" i="6"/>
  <c r="D43" i="6"/>
  <c r="K12" i="25" s="1"/>
  <c r="N22" i="30" l="1"/>
  <c r="F11" i="15"/>
  <c r="F21" i="15" s="1"/>
  <c r="H11" i="15"/>
  <c r="H21" i="15" s="1"/>
  <c r="F35" i="8"/>
  <c r="K13" i="8"/>
  <c r="G35" i="7"/>
  <c r="L35" i="7"/>
  <c r="L34" i="7"/>
  <c r="G34" i="7"/>
  <c r="K38" i="25"/>
  <c r="K20" i="8"/>
  <c r="F20" i="8"/>
  <c r="L12" i="7"/>
  <c r="G12" i="7"/>
  <c r="G29" i="7"/>
  <c r="L29" i="7"/>
  <c r="M16" i="15"/>
  <c r="F16" i="15" s="1"/>
  <c r="K17" i="8"/>
  <c r="F17" i="8"/>
  <c r="L41" i="7"/>
  <c r="G41" i="7"/>
  <c r="L37" i="7"/>
  <c r="G37" i="7"/>
  <c r="K24" i="8"/>
  <c r="F24" i="8"/>
  <c r="G32" i="7"/>
  <c r="L32" i="7"/>
  <c r="G28" i="7"/>
  <c r="L28" i="7"/>
  <c r="E21" i="15"/>
  <c r="L36" i="7"/>
  <c r="G36" i="7"/>
  <c r="G19" i="7"/>
  <c r="L19" i="7"/>
  <c r="K25" i="8"/>
  <c r="F25" i="8"/>
  <c r="G40" i="7"/>
  <c r="L40" i="7"/>
  <c r="G34" i="8"/>
  <c r="L34" i="8"/>
  <c r="K21" i="7"/>
  <c r="L33" i="7"/>
  <c r="G33" i="7"/>
  <c r="C12" i="25"/>
  <c r="D11" i="17" s="1"/>
  <c r="E12" i="25"/>
  <c r="E11" i="17" s="1"/>
  <c r="F11" i="17"/>
  <c r="I12" i="25"/>
  <c r="F12" i="25"/>
  <c r="H12" i="25"/>
  <c r="D12" i="25"/>
  <c r="G12" i="25"/>
  <c r="L17" i="7"/>
  <c r="G17" i="7"/>
  <c r="M27" i="15"/>
  <c r="F27" i="15" s="1"/>
  <c r="L39" i="7"/>
  <c r="G39" i="7"/>
  <c r="M73" i="30"/>
  <c r="P13" i="30" s="1"/>
  <c r="G31" i="7"/>
  <c r="L31" i="7"/>
  <c r="K35" i="8"/>
  <c r="M22" i="30"/>
  <c r="M13" i="30"/>
  <c r="G12" i="8"/>
  <c r="L12" i="8"/>
  <c r="L27" i="7"/>
  <c r="M14" i="15" s="1"/>
  <c r="F14" i="15" s="1"/>
  <c r="G27" i="7"/>
  <c r="G10" i="8"/>
  <c r="F13" i="8"/>
  <c r="O49" i="24" s="1"/>
  <c r="L10" i="8"/>
  <c r="O21" i="30"/>
  <c r="F16" i="8"/>
  <c r="K16" i="8"/>
  <c r="E26" i="8"/>
  <c r="E28" i="8" s="1"/>
  <c r="E37" i="8" s="1"/>
  <c r="E57" i="7"/>
  <c r="N74" i="30"/>
  <c r="L10" i="7"/>
  <c r="F21" i="7"/>
  <c r="M20" i="15"/>
  <c r="F20" i="15" s="1"/>
  <c r="G10" i="7"/>
  <c r="L47" i="7"/>
  <c r="M28" i="15"/>
  <c r="F28" i="15" s="1"/>
  <c r="G47" i="7"/>
  <c r="G33" i="8"/>
  <c r="L33" i="8"/>
  <c r="G26" i="7"/>
  <c r="L26" i="7"/>
  <c r="M15" i="15" s="1"/>
  <c r="F15" i="15" s="1"/>
  <c r="L38" i="7"/>
  <c r="G38" i="7"/>
  <c r="L30" i="7"/>
  <c r="G30" i="7"/>
  <c r="D4" i="6"/>
  <c r="G32" i="8"/>
  <c r="L32" i="8"/>
  <c r="F43" i="7"/>
  <c r="N14" i="30" s="1"/>
  <c r="L25" i="7"/>
  <c r="G25" i="7"/>
  <c r="M26" i="15"/>
  <c r="F26" i="15" s="1"/>
  <c r="L46" i="7"/>
  <c r="G46" i="7"/>
  <c r="F55" i="7"/>
  <c r="F59" i="7" s="1"/>
  <c r="L11" i="7"/>
  <c r="G11" i="7"/>
  <c r="J51" i="14"/>
  <c r="K51" i="14" s="1"/>
  <c r="F35" i="15"/>
  <c r="O74" i="30"/>
  <c r="G18" i="7"/>
  <c r="M22" i="15"/>
  <c r="F22" i="15" s="1"/>
  <c r="L18" i="7"/>
  <c r="S22" i="30"/>
  <c r="H13" i="25"/>
  <c r="E13" i="25"/>
  <c r="E13" i="17" s="1"/>
  <c r="F13" i="17"/>
  <c r="K15" i="25"/>
  <c r="G13" i="25"/>
  <c r="I13" i="25"/>
  <c r="D13" i="25"/>
  <c r="C13" i="25"/>
  <c r="D13" i="17" s="1"/>
  <c r="F13" i="25"/>
  <c r="F18" i="8"/>
  <c r="P21" i="30"/>
  <c r="K18" i="8"/>
  <c r="F22" i="8"/>
  <c r="K22" i="8"/>
  <c r="L15" i="7"/>
  <c r="M13" i="15" s="1"/>
  <c r="F13" i="15" s="1"/>
  <c r="G15" i="7"/>
  <c r="K43" i="7"/>
  <c r="K23" i="8"/>
  <c r="F23" i="8"/>
  <c r="Q21" i="30"/>
  <c r="E29" i="15"/>
  <c r="F21" i="8"/>
  <c r="K21" i="8"/>
  <c r="G11" i="8"/>
  <c r="N23" i="30" s="1"/>
  <c r="L11" i="8"/>
  <c r="L16" i="7"/>
  <c r="G16" i="7"/>
  <c r="K19" i="8"/>
  <c r="F19" i="8"/>
  <c r="L14" i="7"/>
  <c r="G14" i="7"/>
  <c r="G11" i="15"/>
  <c r="G21" i="15" s="1"/>
  <c r="G13" i="7"/>
  <c r="L13" i="7"/>
  <c r="Q22" i="30" l="1"/>
  <c r="M23" i="30"/>
  <c r="L35" i="8"/>
  <c r="S23" i="30"/>
  <c r="G19" i="8"/>
  <c r="L19" i="8"/>
  <c r="H27" i="7"/>
  <c r="N27" i="7" s="1"/>
  <c r="O14" i="15" s="1"/>
  <c r="M27" i="7"/>
  <c r="N14" i="15" s="1"/>
  <c r="G14" i="15" s="1"/>
  <c r="P22" i="30"/>
  <c r="L21" i="7"/>
  <c r="H19" i="7"/>
  <c r="N19" i="7" s="1"/>
  <c r="M19" i="7"/>
  <c r="G24" i="8"/>
  <c r="L24" i="8"/>
  <c r="M46" i="7"/>
  <c r="N26" i="15"/>
  <c r="G26" i="15" s="1"/>
  <c r="H46" i="7"/>
  <c r="G55" i="7"/>
  <c r="G59" i="7" s="1"/>
  <c r="M12" i="8"/>
  <c r="H12" i="8"/>
  <c r="N12" i="8" s="1"/>
  <c r="O75" i="30"/>
  <c r="M18" i="7"/>
  <c r="H18" i="7"/>
  <c r="N22" i="15"/>
  <c r="G22" i="15" s="1"/>
  <c r="H37" i="7"/>
  <c r="N37" i="7" s="1"/>
  <c r="M37" i="7"/>
  <c r="M74" i="30"/>
  <c r="P14" i="30" s="1"/>
  <c r="M34" i="8"/>
  <c r="H34" i="8"/>
  <c r="N34" i="8" s="1"/>
  <c r="J21" i="15"/>
  <c r="M41" i="7"/>
  <c r="H41" i="7"/>
  <c r="N41" i="7" s="1"/>
  <c r="F17" i="17"/>
  <c r="E38" i="25"/>
  <c r="E17" i="17" s="1"/>
  <c r="G38" i="25"/>
  <c r="D38" i="25"/>
  <c r="H38" i="25"/>
  <c r="C38" i="25"/>
  <c r="D17" i="17" s="1"/>
  <c r="I38" i="25"/>
  <c r="F38" i="25"/>
  <c r="G18" i="8"/>
  <c r="L18" i="8"/>
  <c r="G20" i="8"/>
  <c r="L20" i="8"/>
  <c r="M17" i="7"/>
  <c r="H17" i="7"/>
  <c r="N27" i="15"/>
  <c r="G27" i="15" s="1"/>
  <c r="M15" i="7"/>
  <c r="N13" i="15" s="1"/>
  <c r="G13" i="15" s="1"/>
  <c r="H15" i="7"/>
  <c r="N15" i="7" s="1"/>
  <c r="O13" i="15" s="1"/>
  <c r="L43" i="7"/>
  <c r="H47" i="7"/>
  <c r="N28" i="15"/>
  <c r="G28" i="15" s="1"/>
  <c r="M47" i="7"/>
  <c r="O22" i="30"/>
  <c r="H14" i="7"/>
  <c r="N14" i="7" s="1"/>
  <c r="M14" i="7"/>
  <c r="M39" i="7"/>
  <c r="H39" i="7"/>
  <c r="N39" i="7" s="1"/>
  <c r="G23" i="8"/>
  <c r="Q23" i="30" s="1"/>
  <c r="L23" i="8"/>
  <c r="M33" i="8"/>
  <c r="H33" i="8"/>
  <c r="N33" i="8" s="1"/>
  <c r="H11" i="8"/>
  <c r="N11" i="8" s="1"/>
  <c r="K18" i="25" s="1"/>
  <c r="M11" i="8"/>
  <c r="F15" i="25"/>
  <c r="I15" i="25"/>
  <c r="E15" i="25"/>
  <c r="H15" i="25"/>
  <c r="D15" i="25"/>
  <c r="G15" i="25"/>
  <c r="C15" i="25"/>
  <c r="L13" i="8"/>
  <c r="M40" i="7"/>
  <c r="H40" i="7"/>
  <c r="N40" i="7" s="1"/>
  <c r="G17" i="8"/>
  <c r="L17" i="8"/>
  <c r="M34" i="7"/>
  <c r="H34" i="7"/>
  <c r="N34" i="7" s="1"/>
  <c r="M14" i="30"/>
  <c r="H12" i="7"/>
  <c r="N12" i="7" s="1"/>
  <c r="M12" i="7"/>
  <c r="M36" i="7"/>
  <c r="H36" i="7"/>
  <c r="N36" i="7" s="1"/>
  <c r="H26" i="7"/>
  <c r="M26" i="7"/>
  <c r="N15" i="15" s="1"/>
  <c r="H25" i="7"/>
  <c r="G43" i="7"/>
  <c r="N15" i="30" s="1"/>
  <c r="M25" i="7"/>
  <c r="K26" i="8"/>
  <c r="K28" i="8" s="1"/>
  <c r="K37" i="8" s="1"/>
  <c r="J11" i="15"/>
  <c r="F57" i="7"/>
  <c r="L16" i="8"/>
  <c r="F26" i="8"/>
  <c r="F28" i="8" s="1"/>
  <c r="F37" i="8" s="1"/>
  <c r="G16" i="8"/>
  <c r="M32" i="8"/>
  <c r="H32" i="8"/>
  <c r="S24" i="30" s="1"/>
  <c r="S53" i="30" s="1"/>
  <c r="G35" i="8"/>
  <c r="M28" i="7"/>
  <c r="H28" i="7"/>
  <c r="N28" i="7" s="1"/>
  <c r="H29" i="7"/>
  <c r="N16" i="15"/>
  <c r="G16" i="15" s="1"/>
  <c r="M29" i="7"/>
  <c r="H33" i="7"/>
  <c r="N33" i="7" s="1"/>
  <c r="M33" i="7"/>
  <c r="H16" i="7"/>
  <c r="N16" i="7" s="1"/>
  <c r="M16" i="7"/>
  <c r="F29" i="15"/>
  <c r="M64" i="30"/>
  <c r="O64" i="30" s="1"/>
  <c r="E48" i="7"/>
  <c r="H13" i="7"/>
  <c r="N13" i="7" s="1"/>
  <c r="M13" i="7"/>
  <c r="J77" i="14"/>
  <c r="K77" i="14" s="1"/>
  <c r="H11" i="7"/>
  <c r="M11" i="7"/>
  <c r="G35" i="15"/>
  <c r="H10" i="7"/>
  <c r="N75" i="30"/>
  <c r="M10" i="7"/>
  <c r="G21" i="7"/>
  <c r="N20" i="15"/>
  <c r="G20" i="15" s="1"/>
  <c r="G13" i="8"/>
  <c r="M10" i="8"/>
  <c r="H10" i="8"/>
  <c r="M24" i="30" s="1"/>
  <c r="E23" i="15"/>
  <c r="M38" i="7"/>
  <c r="H38" i="7"/>
  <c r="N38" i="7" s="1"/>
  <c r="G21" i="8"/>
  <c r="L21" i="8"/>
  <c r="G22" i="8"/>
  <c r="L22" i="8"/>
  <c r="M30" i="7"/>
  <c r="H30" i="7"/>
  <c r="N30" i="7" s="1"/>
  <c r="F23" i="15"/>
  <c r="M31" i="7"/>
  <c r="H31" i="7"/>
  <c r="N31" i="7" s="1"/>
  <c r="G25" i="8"/>
  <c r="L25" i="8"/>
  <c r="M32" i="7"/>
  <c r="H32" i="7"/>
  <c r="N32" i="7" s="1"/>
  <c r="M35" i="7"/>
  <c r="H35" i="7"/>
  <c r="N35" i="7" s="1"/>
  <c r="H13" i="15" l="1"/>
  <c r="J13" i="15" s="1"/>
  <c r="P23" i="30"/>
  <c r="O23" i="30"/>
  <c r="M35" i="8"/>
  <c r="L26" i="8"/>
  <c r="L28" i="8" s="1"/>
  <c r="L37" i="8" s="1"/>
  <c r="M9" i="15" s="1"/>
  <c r="M53" i="30"/>
  <c r="M24" i="8"/>
  <c r="H24" i="8"/>
  <c r="N24" i="8" s="1"/>
  <c r="K31" i="25" s="1"/>
  <c r="N17" i="7"/>
  <c r="O27" i="15"/>
  <c r="H27" i="15" s="1"/>
  <c r="J27" i="15" s="1"/>
  <c r="O76" i="30"/>
  <c r="O22" i="15"/>
  <c r="H22" i="15" s="1"/>
  <c r="J22" i="15" s="1"/>
  <c r="N18" i="7"/>
  <c r="M25" i="8"/>
  <c r="H25" i="8"/>
  <c r="N25" i="8" s="1"/>
  <c r="K32" i="25" s="1"/>
  <c r="J107" i="14"/>
  <c r="K107" i="14" s="1"/>
  <c r="N11" i="7"/>
  <c r="H35" i="15"/>
  <c r="J35" i="15" s="1"/>
  <c r="L9" i="15"/>
  <c r="E9" i="15" s="1"/>
  <c r="K48" i="7"/>
  <c r="K49" i="7" s="1"/>
  <c r="K51" i="7" s="1"/>
  <c r="M75" i="30"/>
  <c r="P15" i="30" s="1"/>
  <c r="N24" i="30"/>
  <c r="N53" i="30" s="1"/>
  <c r="H14" i="15"/>
  <c r="J14" i="15" s="1"/>
  <c r="N76" i="30"/>
  <c r="N10" i="7"/>
  <c r="O21" i="9"/>
  <c r="H21" i="7"/>
  <c r="O20" i="15"/>
  <c r="H20" i="15" s="1"/>
  <c r="O16" i="15"/>
  <c r="H16" i="15" s="1"/>
  <c r="J16" i="15" s="1"/>
  <c r="N29" i="7"/>
  <c r="M43" i="7"/>
  <c r="M13" i="8"/>
  <c r="M18" i="8"/>
  <c r="H18" i="8"/>
  <c r="N18" i="8" s="1"/>
  <c r="K25" i="25" s="1"/>
  <c r="N32" i="8"/>
  <c r="H35" i="8"/>
  <c r="O28" i="15"/>
  <c r="H28" i="15" s="1"/>
  <c r="J28" i="15" s="1"/>
  <c r="N47" i="7"/>
  <c r="O26" i="15"/>
  <c r="H26" i="15" s="1"/>
  <c r="N46" i="7"/>
  <c r="H55" i="7"/>
  <c r="H59" i="7" s="1"/>
  <c r="L48" i="7"/>
  <c r="L49" i="7" s="1"/>
  <c r="L51" i="7" s="1"/>
  <c r="M20" i="8"/>
  <c r="H20" i="8"/>
  <c r="N20" i="8" s="1"/>
  <c r="K27" i="25" s="1"/>
  <c r="M17" i="8"/>
  <c r="H17" i="8"/>
  <c r="G15" i="15"/>
  <c r="H15" i="15"/>
  <c r="M15" i="30"/>
  <c r="G29" i="15"/>
  <c r="M19" i="8"/>
  <c r="H19" i="8"/>
  <c r="N19" i="8" s="1"/>
  <c r="K26" i="25" s="1"/>
  <c r="N10" i="8"/>
  <c r="H13" i="8"/>
  <c r="N25" i="7"/>
  <c r="H43" i="7"/>
  <c r="N16" i="30" s="1"/>
  <c r="E60" i="7"/>
  <c r="E63" i="7" s="1"/>
  <c r="E56" i="7"/>
  <c r="E58" i="7" s="1"/>
  <c r="E61" i="7" s="1"/>
  <c r="E49" i="7"/>
  <c r="M22" i="8"/>
  <c r="H22" i="8"/>
  <c r="N22" i="8" s="1"/>
  <c r="K29" i="25" s="1"/>
  <c r="M21" i="7"/>
  <c r="M16" i="8"/>
  <c r="G57" i="7"/>
  <c r="G26" i="8"/>
  <c r="G28" i="8" s="1"/>
  <c r="G37" i="8" s="1"/>
  <c r="H16" i="8"/>
  <c r="O24" i="30" s="1"/>
  <c r="O53" i="30" s="1"/>
  <c r="M21" i="8"/>
  <c r="H21" i="8"/>
  <c r="N21" i="8" s="1"/>
  <c r="K28" i="25" s="1"/>
  <c r="G18" i="25"/>
  <c r="H18" i="25"/>
  <c r="D18" i="25"/>
  <c r="F18" i="25"/>
  <c r="C18" i="25"/>
  <c r="I18" i="25"/>
  <c r="E18" i="25"/>
  <c r="G23" i="15"/>
  <c r="M65" i="30"/>
  <c r="O65" i="30" s="1"/>
  <c r="F48" i="7"/>
  <c r="H23" i="8"/>
  <c r="N23" i="8" s="1"/>
  <c r="K30" i="25" s="1"/>
  <c r="M23" i="8"/>
  <c r="F9" i="15" l="1"/>
  <c r="F17" i="15" s="1"/>
  <c r="F31" i="15" s="1"/>
  <c r="J26" i="15"/>
  <c r="J29" i="15" s="1"/>
  <c r="M26" i="8"/>
  <c r="M28" i="8" s="1"/>
  <c r="M37" i="8" s="1"/>
  <c r="M48" i="7" s="1"/>
  <c r="M49" i="7" s="1"/>
  <c r="M51" i="7" s="1"/>
  <c r="E62" i="7"/>
  <c r="J15" i="15"/>
  <c r="G29" i="25"/>
  <c r="F29" i="25"/>
  <c r="I29" i="25"/>
  <c r="D29" i="25"/>
  <c r="C29" i="25"/>
  <c r="E29" i="25"/>
  <c r="H29" i="25"/>
  <c r="P24" i="30"/>
  <c r="P53" i="30" s="1"/>
  <c r="H27" i="25"/>
  <c r="C27" i="25"/>
  <c r="F27" i="25"/>
  <c r="I27" i="25"/>
  <c r="G27" i="25"/>
  <c r="E27" i="25"/>
  <c r="D27" i="25"/>
  <c r="E25" i="25"/>
  <c r="C25" i="25"/>
  <c r="H25" i="25"/>
  <c r="F25" i="25"/>
  <c r="D25" i="25"/>
  <c r="I25" i="25"/>
  <c r="G25" i="25"/>
  <c r="E17" i="15"/>
  <c r="E31" i="15" s="1"/>
  <c r="E33" i="15" s="1"/>
  <c r="O13" i="30"/>
  <c r="E51" i="7"/>
  <c r="Q24" i="30"/>
  <c r="Q53" i="30" s="1"/>
  <c r="E31" i="25"/>
  <c r="G31" i="25"/>
  <c r="F31" i="25"/>
  <c r="C31" i="25"/>
  <c r="D31" i="25"/>
  <c r="H31" i="25"/>
  <c r="I31" i="25"/>
  <c r="H29" i="15"/>
  <c r="H23" i="15"/>
  <c r="H26" i="25"/>
  <c r="F26" i="25"/>
  <c r="G26" i="25"/>
  <c r="E26" i="25"/>
  <c r="I26" i="25"/>
  <c r="C26" i="25"/>
  <c r="D26" i="25"/>
  <c r="C30" i="25"/>
  <c r="G30" i="25"/>
  <c r="E30" i="25"/>
  <c r="F30" i="25"/>
  <c r="D30" i="25"/>
  <c r="H30" i="25"/>
  <c r="I30" i="25"/>
  <c r="H28" i="25"/>
  <c r="C28" i="25"/>
  <c r="D28" i="25"/>
  <c r="G28" i="25"/>
  <c r="I28" i="25"/>
  <c r="E28" i="25"/>
  <c r="F28" i="25"/>
  <c r="M16" i="30"/>
  <c r="J20" i="15"/>
  <c r="J23" i="15" s="1"/>
  <c r="M66" i="30"/>
  <c r="O66" i="30" s="1"/>
  <c r="G48" i="7"/>
  <c r="K39" i="25"/>
  <c r="N35" i="8"/>
  <c r="N13" i="8"/>
  <c r="K17" i="25"/>
  <c r="F60" i="7"/>
  <c r="F63" i="7" s="1"/>
  <c r="F56" i="7"/>
  <c r="F58" i="7" s="1"/>
  <c r="F61" i="7" s="1"/>
  <c r="F49" i="7"/>
  <c r="I32" i="25"/>
  <c r="H32" i="25"/>
  <c r="D32" i="25"/>
  <c r="F32" i="25"/>
  <c r="G32" i="25"/>
  <c r="C32" i="25"/>
  <c r="E32" i="25"/>
  <c r="M76" i="30"/>
  <c r="P16" i="30" s="1"/>
  <c r="H57" i="7"/>
  <c r="N16" i="8"/>
  <c r="H26" i="8"/>
  <c r="H28" i="8" s="1"/>
  <c r="H37" i="8" s="1"/>
  <c r="N43" i="7"/>
  <c r="N21" i="7"/>
  <c r="F62" i="7" l="1"/>
  <c r="N9" i="15"/>
  <c r="G9" i="15" s="1"/>
  <c r="G17" i="15" s="1"/>
  <c r="G31" i="15" s="1"/>
  <c r="L54" i="30" a="1"/>
  <c r="L54" i="30" s="1"/>
  <c r="I17" i="25"/>
  <c r="K21" i="25"/>
  <c r="H17" i="25"/>
  <c r="G17" i="25"/>
  <c r="C17" i="25"/>
  <c r="F17" i="25"/>
  <c r="D17" i="25"/>
  <c r="E17" i="25"/>
  <c r="I39" i="25"/>
  <c r="G39" i="25"/>
  <c r="E39" i="25"/>
  <c r="E19" i="17" s="1"/>
  <c r="D39" i="25"/>
  <c r="F39" i="25"/>
  <c r="K41" i="25"/>
  <c r="F19" i="17"/>
  <c r="H39" i="25"/>
  <c r="C39" i="25"/>
  <c r="D19" i="17" s="1"/>
  <c r="G56" i="7"/>
  <c r="G58" i="7" s="1"/>
  <c r="G61" i="7" s="1"/>
  <c r="G60" i="7"/>
  <c r="G63" i="7" s="1"/>
  <c r="G49" i="7"/>
  <c r="K23" i="25"/>
  <c r="F32" i="15"/>
  <c r="F33" i="15" s="1"/>
  <c r="E36" i="15"/>
  <c r="H48" i="7"/>
  <c r="T53" i="30"/>
  <c r="M67" i="30"/>
  <c r="O67" i="30" s="1"/>
  <c r="O14" i="30"/>
  <c r="F51" i="7"/>
  <c r="O15" i="30" l="1"/>
  <c r="G51" i="7"/>
  <c r="G62" i="7"/>
  <c r="D23" i="25"/>
  <c r="I23" i="25"/>
  <c r="E23" i="25"/>
  <c r="C23" i="25"/>
  <c r="G23" i="25"/>
  <c r="H23" i="25"/>
  <c r="F23" i="25"/>
  <c r="E41" i="25"/>
  <c r="C41" i="25"/>
  <c r="F41" i="25"/>
  <c r="I41" i="25"/>
  <c r="D41" i="25"/>
  <c r="H41" i="25"/>
  <c r="G41" i="25"/>
  <c r="I21" i="25"/>
  <c r="D21" i="25"/>
  <c r="G21" i="25"/>
  <c r="C21" i="25"/>
  <c r="E21" i="25"/>
  <c r="F21" i="25"/>
  <c r="H21" i="25"/>
  <c r="H56" i="7"/>
  <c r="H58" i="7" s="1"/>
  <c r="H61" i="7" s="1"/>
  <c r="H60" i="7"/>
  <c r="H63" i="7" s="1"/>
  <c r="N17" i="8" s="1"/>
  <c r="H49" i="7"/>
  <c r="G32" i="15"/>
  <c r="G33" i="15" s="1"/>
  <c r="F36" i="15"/>
  <c r="H32" i="15" l="1"/>
  <c r="G36" i="15"/>
  <c r="H62" i="7"/>
  <c r="O16" i="30"/>
  <c r="H51" i="7"/>
  <c r="K24" i="25"/>
  <c r="N26" i="8"/>
  <c r="N28" i="8" s="1"/>
  <c r="N37" i="8" s="1"/>
  <c r="H13" i="16" l="1"/>
  <c r="N48" i="7"/>
  <c r="N49" i="7" s="1"/>
  <c r="O9" i="15"/>
  <c r="H9" i="15" s="1"/>
  <c r="D21" i="17"/>
  <c r="G24" i="25"/>
  <c r="H24" i="25"/>
  <c r="C24" i="25"/>
  <c r="I24" i="25"/>
  <c r="F24" i="25"/>
  <c r="D24" i="25"/>
  <c r="E24" i="25"/>
  <c r="E21" i="17" s="1"/>
  <c r="K34" i="25"/>
  <c r="H17" i="15" l="1"/>
  <c r="H31" i="15" s="1"/>
  <c r="H33" i="15" s="1"/>
  <c r="H36" i="15" s="1"/>
  <c r="J9" i="15"/>
  <c r="J17" i="15" s="1"/>
  <c r="J31" i="15" s="1"/>
  <c r="J33" i="15" s="1"/>
  <c r="J36" i="15" s="1"/>
  <c r="C34" i="25"/>
  <c r="E34" i="25"/>
  <c r="I34" i="25"/>
  <c r="G34" i="25"/>
  <c r="H34" i="25"/>
  <c r="F34" i="25"/>
  <c r="D34" i="25"/>
  <c r="K44" i="25"/>
  <c r="K36" i="25"/>
  <c r="K15" i="16"/>
  <c r="R5" i="9"/>
  <c r="N53" i="7"/>
  <c r="N54" i="7" s="1"/>
  <c r="N51" i="7"/>
  <c r="F13" i="16"/>
  <c r="F15" i="16" s="1"/>
  <c r="D13" i="16"/>
  <c r="D15" i="16" s="1"/>
  <c r="H15" i="16"/>
  <c r="G36" i="25" l="1"/>
  <c r="F15" i="17"/>
  <c r="F23" i="17" s="1"/>
  <c r="D29" i="17" s="1"/>
  <c r="E36" i="25"/>
  <c r="E15" i="17" s="1"/>
  <c r="E23" i="17" s="1"/>
  <c r="D36" i="25"/>
  <c r="I36" i="25"/>
  <c r="C36" i="25"/>
  <c r="D15" i="17" s="1"/>
  <c r="D23" i="17" s="1"/>
  <c r="F36" i="25"/>
  <c r="H36" i="25"/>
  <c r="E44" i="25"/>
  <c r="E5" i="25" s="1"/>
  <c r="K5" i="25"/>
  <c r="I44" i="25"/>
  <c r="I5" i="25" s="1"/>
  <c r="H44" i="25"/>
  <c r="H5" i="25" s="1"/>
  <c r="C44" i="25"/>
  <c r="C5" i="25" s="1"/>
  <c r="D44" i="25"/>
  <c r="D5" i="25" s="1"/>
  <c r="K46" i="25"/>
  <c r="G44" i="25"/>
  <c r="G5" i="25" s="1"/>
  <c r="F44" i="25"/>
  <c r="F5" i="25" s="1"/>
  <c r="J53" i="30"/>
  <c r="D20" i="16"/>
  <c r="M10" i="9"/>
  <c r="J17" i="9"/>
  <c r="J10" i="9"/>
  <c r="J15" i="9"/>
  <c r="M15" i="9"/>
  <c r="M14" i="9"/>
  <c r="J14" i="9"/>
  <c r="J12" i="9"/>
  <c r="M16" i="16"/>
  <c r="L15" i="16"/>
  <c r="M15" i="16" s="1"/>
  <c r="M19" i="9" l="1"/>
  <c r="J19" i="9"/>
  <c r="J9" i="30"/>
  <c r="J11" i="30"/>
  <c r="K47" i="25"/>
  <c r="H24" i="17"/>
  <c r="L46" i="25"/>
  <c r="C46" i="25"/>
  <c r="G46" i="25"/>
  <c r="G47" i="25" s="1"/>
  <c r="H46" i="25"/>
  <c r="H47" i="25" s="1"/>
  <c r="I46" i="25"/>
  <c r="I47" i="25" s="1"/>
  <c r="D46" i="25"/>
  <c r="E46" i="25"/>
  <c r="E47" i="25" s="1"/>
  <c r="F46" i="25"/>
  <c r="F47" i="25" s="1"/>
  <c r="G24" i="17" l="1"/>
  <c r="D47" i="25"/>
  <c r="C47" i="25"/>
  <c r="C49" i="25"/>
  <c r="G23"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<sst xmlns="http://schemas.openxmlformats.org/spreadsheetml/2006/main" count="1040" uniqueCount="742">
  <si>
    <t>-</t>
  </si>
  <si>
    <t>Chart of Accounts</t>
  </si>
  <si>
    <t>General Ledger</t>
  </si>
  <si>
    <t>Account Number</t>
  </si>
  <si>
    <t>Account Name</t>
  </si>
  <si>
    <t>Normal Balance</t>
  </si>
  <si>
    <t>Assets</t>
  </si>
  <si>
    <t>Cash and cash equivalents</t>
  </si>
  <si>
    <t>Interest receivable</t>
  </si>
  <si>
    <t>Dividends receivable</t>
  </si>
  <si>
    <t>Due from related parties</t>
  </si>
  <si>
    <t>Escrow proceeds receivable</t>
  </si>
  <si>
    <t>Capital Contributions receivable</t>
  </si>
  <si>
    <t>Loan/Notes receivable</t>
  </si>
  <si>
    <t>Other Assets</t>
  </si>
  <si>
    <t>Management fee payable</t>
  </si>
  <si>
    <t>Liabilities</t>
  </si>
  <si>
    <t>Performance fee payable</t>
  </si>
  <si>
    <t>Capital distribution payable</t>
  </si>
  <si>
    <t>Notes payable</t>
  </si>
  <si>
    <t>Fund Equity</t>
  </si>
  <si>
    <t>Interest Income</t>
  </si>
  <si>
    <t>Income</t>
  </si>
  <si>
    <t>Other income</t>
  </si>
  <si>
    <t>Management fee expense</t>
  </si>
  <si>
    <t>Expense</t>
  </si>
  <si>
    <t>Performance fee expense</t>
  </si>
  <si>
    <t>Accrued expenses</t>
  </si>
  <si>
    <t>Legal fee expense</t>
  </si>
  <si>
    <t>Director fee expense</t>
  </si>
  <si>
    <t>Insurance fee expense</t>
  </si>
  <si>
    <t>Data market fee expense</t>
  </si>
  <si>
    <t>Due diligence fee expense</t>
  </si>
  <si>
    <t>Other professional fee expense</t>
  </si>
  <si>
    <t>Interest expense</t>
  </si>
  <si>
    <t>Dividend Expense</t>
  </si>
  <si>
    <t>Net realized gain from investments</t>
  </si>
  <si>
    <t>Description</t>
  </si>
  <si>
    <t>Notes</t>
  </si>
  <si>
    <t>Investment Income</t>
  </si>
  <si>
    <t>Note: The area highlighted in light blue auto populates based on the data entered in "general Ledger Tab", if you add any new account, change the account name, or description, make sure to also make the appropriate change in light green area.</t>
  </si>
  <si>
    <t>Total</t>
  </si>
  <si>
    <t>Capital contributions receivable</t>
  </si>
  <si>
    <t>Total Assets</t>
  </si>
  <si>
    <t>Total Liabilities</t>
  </si>
  <si>
    <t>Beginning Capital</t>
  </si>
  <si>
    <t>Capital contribution</t>
  </si>
  <si>
    <t>Capital distribution</t>
  </si>
  <si>
    <t>Net Performance allocation</t>
  </si>
  <si>
    <t>Check</t>
  </si>
  <si>
    <t>Statement of Operations</t>
  </si>
  <si>
    <t>Post Fee PnL</t>
  </si>
  <si>
    <t>Total investment income</t>
  </si>
  <si>
    <t>Expenses</t>
  </si>
  <si>
    <t>Total expenses</t>
  </si>
  <si>
    <t>Net investment gain (loss)</t>
  </si>
  <si>
    <t>Realized and unrealized gain (loss) from investments and foreign currency transactions</t>
  </si>
  <si>
    <t>Net change in unrealized gains and losses on investments</t>
  </si>
  <si>
    <t>Net gain (loss) from investments and foreign currency transactions</t>
  </si>
  <si>
    <t>Net income</t>
  </si>
  <si>
    <t>Y</t>
  </si>
  <si>
    <t>N</t>
  </si>
  <si>
    <t>Schedule of Investments</t>
  </si>
  <si>
    <t>Partners' Capital</t>
  </si>
  <si>
    <t>Investments</t>
  </si>
  <si>
    <t>Cost</t>
  </si>
  <si>
    <t>Fair Value</t>
  </si>
  <si>
    <t>Exited the Position</t>
  </si>
  <si>
    <t>Real G/L</t>
  </si>
  <si>
    <t>Unreal. G/L</t>
  </si>
  <si>
    <t>Contribution</t>
  </si>
  <si>
    <t>Type</t>
  </si>
  <si>
    <t>Account</t>
  </si>
  <si>
    <t>Debit</t>
  </si>
  <si>
    <t>Credit</t>
  </si>
  <si>
    <t>Professional Fees</t>
  </si>
  <si>
    <t>Transaction Date</t>
  </si>
  <si>
    <t>Frequency</t>
  </si>
  <si>
    <t>Interest payable</t>
  </si>
  <si>
    <t>Dividend payable</t>
  </si>
  <si>
    <t>Prepaid expenses</t>
  </si>
  <si>
    <t>Redemptions payable</t>
  </si>
  <si>
    <t>Limited Partners' capital accounts</t>
  </si>
  <si>
    <t>General Partner's capital account</t>
  </si>
  <si>
    <t>Fee income</t>
  </si>
  <si>
    <t>Audit and tax expense</t>
  </si>
  <si>
    <t>Custody fee expense</t>
  </si>
  <si>
    <t>Legal fees payable</t>
  </si>
  <si>
    <t>Fund administration fees payable</t>
  </si>
  <si>
    <t>Director fees payable</t>
  </si>
  <si>
    <t>Insurance fees payable</t>
  </si>
  <si>
    <t>Data market fees payable</t>
  </si>
  <si>
    <t>Due diligence fees payable</t>
  </si>
  <si>
    <t>Other professional fees payable</t>
  </si>
  <si>
    <t>Investor Contributions</t>
  </si>
  <si>
    <t>Investor Redemptions</t>
  </si>
  <si>
    <t>Fund administration expense</t>
  </si>
  <si>
    <t>Organizational costs</t>
  </si>
  <si>
    <t>Deferred Expense</t>
  </si>
  <si>
    <t>Offering expenses</t>
  </si>
  <si>
    <t>These are classified as "Deferred Expense" because they are typically capitalized and amortized over time, rather than expensed immediately. However, the exact treatment may vary depending on the fund's accounting policies and applicable regulations.</t>
  </si>
  <si>
    <t>Office supplies expense</t>
  </si>
  <si>
    <t>Technology and systems expense</t>
  </si>
  <si>
    <t>Receivables</t>
  </si>
  <si>
    <t>Other Liabilities</t>
  </si>
  <si>
    <t>Other Income</t>
  </si>
  <si>
    <t>Fee Income</t>
  </si>
  <si>
    <t>Interest Expense</t>
  </si>
  <si>
    <t>Realized Gains/Losses</t>
  </si>
  <si>
    <t>Unrealized Gains/Losses</t>
  </si>
  <si>
    <t>Foreign Currency Gains/Losses</t>
  </si>
  <si>
    <t>Organizational Costs</t>
  </si>
  <si>
    <t>Offering Expenses</t>
  </si>
  <si>
    <t>Dividend Income</t>
  </si>
  <si>
    <t>Office rent expense</t>
  </si>
  <si>
    <t>Utilities and maintenance expense</t>
  </si>
  <si>
    <t>Month End</t>
  </si>
  <si>
    <t>Quarter Date</t>
  </si>
  <si>
    <t>Investments, at fair value</t>
  </si>
  <si>
    <t>GAV</t>
  </si>
  <si>
    <t>Mgmt Fee @ 2%</t>
  </si>
  <si>
    <t>Performance Fee Base</t>
  </si>
  <si>
    <t>GAV is larger than Hurdle?</t>
  </si>
  <si>
    <t>Positive PnL and is larger than Fee base?</t>
  </si>
  <si>
    <t>Performance Fee @ 20%</t>
  </si>
  <si>
    <t>Balance Sheet Items Classification</t>
  </si>
  <si>
    <t>Deferred tax asset</t>
  </si>
  <si>
    <t>Derivatives and financial instruments</t>
  </si>
  <si>
    <t>Deferred tax liability</t>
  </si>
  <si>
    <t>Short-term borrowings</t>
  </si>
  <si>
    <t>Retained earnings</t>
  </si>
  <si>
    <t>General and Admin Expense</t>
  </si>
  <si>
    <t>Bank charges and fees</t>
  </si>
  <si>
    <t>Travel and entertainment</t>
  </si>
  <si>
    <t>Marketing and investor relations</t>
  </si>
  <si>
    <t>Amortization</t>
  </si>
  <si>
    <t>Balance</t>
  </si>
  <si>
    <t>Trial Balance</t>
  </si>
  <si>
    <t>Annual Financial Report</t>
  </si>
  <si>
    <t>Report Date:</t>
  </si>
  <si>
    <t>Organization Information:</t>
  </si>
  <si>
    <t xml:space="preserve">Representative: </t>
  </si>
  <si>
    <t>Phone:</t>
  </si>
  <si>
    <t xml:space="preserve">Email: </t>
  </si>
  <si>
    <t>Accounting Firm:</t>
  </si>
  <si>
    <t>Relationship Manager:</t>
  </si>
  <si>
    <t>Email:</t>
  </si>
  <si>
    <t xml:space="preserve">Website: </t>
  </si>
  <si>
    <t xml:space="preserve">Confidential and Proprietary Information </t>
  </si>
  <si>
    <t xml:space="preserve">© 2024 A Good Practice Fund II, L.P. </t>
  </si>
  <si>
    <t>All Rights Reserved.</t>
  </si>
  <si>
    <t>GP</t>
  </si>
  <si>
    <t>LP</t>
  </si>
  <si>
    <t>Capital distribtuion</t>
  </si>
  <si>
    <t>Performance allocation</t>
  </si>
  <si>
    <t>Ending Capital</t>
  </si>
  <si>
    <t>Allocation %</t>
  </si>
  <si>
    <t>Reconciliation</t>
  </si>
  <si>
    <t>Difference</t>
  </si>
  <si>
    <t>Formula Reference</t>
  </si>
  <si>
    <t>Total Investment</t>
  </si>
  <si>
    <t>% of Partners' Capital</t>
  </si>
  <si>
    <t>Partners' capital, beginning of year</t>
  </si>
  <si>
    <t>Capital contributions</t>
  </si>
  <si>
    <t>Capital distributions</t>
  </si>
  <si>
    <t>Net investment income</t>
  </si>
  <si>
    <t>Net realized gain on investments</t>
  </si>
  <si>
    <t>Net change in unrealized appreciation on investments</t>
  </si>
  <si>
    <t>Allocation of net income to General Partner</t>
  </si>
  <si>
    <t>Partners' capital, end of year</t>
  </si>
  <si>
    <t xml:space="preserve">Capital Account Statement </t>
  </si>
  <si>
    <t>Total # of Unites/Shares</t>
  </si>
  <si>
    <t>NAV per share</t>
  </si>
  <si>
    <t>Capital Call 2</t>
  </si>
  <si>
    <t>Capital Call 1</t>
  </si>
  <si>
    <t>Management Fee</t>
  </si>
  <si>
    <t>Capital Call 3</t>
  </si>
  <si>
    <t>AI Tech</t>
  </si>
  <si>
    <t>Compliance Checklist</t>
  </si>
  <si>
    <t>Consolidated Financial Statements</t>
  </si>
  <si>
    <t>Scenario and Sensitivity Analysis</t>
  </si>
  <si>
    <t>Risk Assessment</t>
  </si>
  <si>
    <t>Tax Computations</t>
  </si>
  <si>
    <t>Valuation Models</t>
  </si>
  <si>
    <t>Fixed Assets &amp; Depreciation Schedule</t>
  </si>
  <si>
    <t>This is a hypothetical model and is not related to my current work. It is a simplified model created for educational purposes. To tailor this course for my audience, the model covers most scenarios and entries commonly used in accounting. In future videos, I will address additional topics, including:</t>
  </si>
  <si>
    <t>Disclaimer</t>
  </si>
  <si>
    <t>The newly launched private equity fund, with an initial commitment of $9 million and subsequent capital raising it to $12 million, is strategically positioned to leverage a diversified investment approach. The portfolio includes a laundromat with stable cash flow, an AI-driven startup with high growth potential, and strategic loans for an e-commerce business and a construction project. The addition of new investors strengthens the fund’s capital base, enhancing its ability to meet investment objectives. With a well-structured approach to investment management, performance monitoring, risk management, and a clear exit strategy, the fund aims to deliver robust returns and value for all stakeholders.</t>
  </si>
  <si>
    <t>7. Conclusion</t>
  </si>
  <si>
    <t>6. Exit Strategy</t>
  </si>
  <si>
    <t>5.4. Risk Management</t>
  </si>
  <si>
    <t>5.3. Investor Relations</t>
  </si>
  <si>
    <t>5.2. Fund Performance Monitoring</t>
  </si>
  <si>
    <t>5.1. Investment Management</t>
  </si>
  <si>
    <t>5. Business Plan Activity and Strategy</t>
  </si>
  <si>
    <t>Construction Loan</t>
  </si>
  <si>
    <t>E-Commerce Loan</t>
  </si>
  <si>
    <t>AI-Driven Startup</t>
  </si>
  <si>
    <t>Laundromat Acquisition</t>
  </si>
  <si>
    <t>Percentage of Total Capital</t>
  </si>
  <si>
    <t>Amount</t>
  </si>
  <si>
    <t>Investment</t>
  </si>
  <si>
    <t>6. Capital Allocation/Ownership</t>
  </si>
  <si>
    <t>Date</t>
  </si>
  <si>
    <t>Distribution Amount</t>
  </si>
  <si>
    <t>Exit Proceeds</t>
  </si>
  <si>
    <t>Call to fund Investment 3</t>
  </si>
  <si>
    <t>Call to fund loan 1</t>
  </si>
  <si>
    <t>Initial call to fund</t>
  </si>
  <si>
    <t>Details</t>
  </si>
  <si>
    <t>Call Amount</t>
  </si>
  <si>
    <t>Call #</t>
  </si>
  <si>
    <t>Distribution</t>
  </si>
  <si>
    <t>15.00% - 17.00% IRR</t>
  </si>
  <si>
    <t>Expected Return</t>
  </si>
  <si>
    <t>Repayment Terms</t>
  </si>
  <si>
    <t>1st lien on existing capital assets</t>
  </si>
  <si>
    <t>Security</t>
  </si>
  <si>
    <t>Senior loan with 1st lien on existing capital assets for construction of multiple laundromat locations</t>
  </si>
  <si>
    <t>Loan Purpose</t>
  </si>
  <si>
    <t>Maturity Date</t>
  </si>
  <si>
    <t>Origination Date</t>
  </si>
  <si>
    <t>Years</t>
  </si>
  <si>
    <t>Term</t>
  </si>
  <si>
    <t>p.a.</t>
  </si>
  <si>
    <t>Interest Rate</t>
  </si>
  <si>
    <t>Principal Amount</t>
  </si>
  <si>
    <t>Borrower</t>
  </si>
  <si>
    <t>Investment Details</t>
  </si>
  <si>
    <t>Exit Multiple</t>
  </si>
  <si>
    <t>Purpose</t>
  </si>
  <si>
    <t>Quarterly Dividend</t>
  </si>
  <si>
    <t>Debt Amount</t>
  </si>
  <si>
    <t>Equity Amount</t>
  </si>
  <si>
    <t>Investment Amount</t>
  </si>
  <si>
    <t>Valuation Multiple</t>
  </si>
  <si>
    <t>E-commerce</t>
  </si>
  <si>
    <t>Key Figures</t>
  </si>
  <si>
    <t>Laundromat</t>
  </si>
  <si>
    <t>Total Capital Raised</t>
  </si>
  <si>
    <t>Expected Exit date</t>
  </si>
  <si>
    <t>Incorporation Date</t>
  </si>
  <si>
    <t>Input Data</t>
  </si>
  <si>
    <t>Financial Ratios and KPIs</t>
  </si>
  <si>
    <t>IRR</t>
  </si>
  <si>
    <t>YTD</t>
  </si>
  <si>
    <t>End Date</t>
  </si>
  <si>
    <t>Start Date</t>
  </si>
  <si>
    <t>Other Item</t>
  </si>
  <si>
    <t>6. Other Income and Costs</t>
  </si>
  <si>
    <t>Fee Rate</t>
  </si>
  <si>
    <t>Items</t>
  </si>
  <si>
    <t>Monthly</t>
  </si>
  <si>
    <t>Quarterly</t>
  </si>
  <si>
    <t>Income Item</t>
  </si>
  <si>
    <t>4. Income</t>
  </si>
  <si>
    <t>Frequency (months)</t>
  </si>
  <si>
    <t>Annual Amount</t>
  </si>
  <si>
    <t>3. Costs</t>
  </si>
  <si>
    <t>Equity</t>
  </si>
  <si>
    <t>Distribution / Proceeds</t>
  </si>
  <si>
    <t>Initial Investment</t>
  </si>
  <si>
    <t>2. Investment Activities</t>
  </si>
  <si>
    <t>Capital Call</t>
  </si>
  <si>
    <t>Activities</t>
  </si>
  <si>
    <t>1. Capital Activities</t>
  </si>
  <si>
    <t>ITD Total</t>
  </si>
  <si>
    <t>End GAV</t>
  </si>
  <si>
    <t>End NAV</t>
  </si>
  <si>
    <t>Total Expenses</t>
  </si>
  <si>
    <t>Dividend expense</t>
  </si>
  <si>
    <t>Commitment</t>
  </si>
  <si>
    <t>ROI</t>
  </si>
  <si>
    <t>LP5</t>
  </si>
  <si>
    <t>LP4</t>
  </si>
  <si>
    <t>LP3</t>
  </si>
  <si>
    <t>LP2</t>
  </si>
  <si>
    <t>LP1</t>
  </si>
  <si>
    <t>Investor's Name</t>
  </si>
  <si>
    <t>To</t>
  </si>
  <si>
    <t>From</t>
  </si>
  <si>
    <t>Ending Balance</t>
  </si>
  <si>
    <t>Principal</t>
  </si>
  <si>
    <t>Interest</t>
  </si>
  <si>
    <t>Payment</t>
  </si>
  <si>
    <t>Beginning Balance</t>
  </si>
  <si>
    <t>Effective Date</t>
  </si>
  <si>
    <t>Payment Date</t>
  </si>
  <si>
    <t>No.</t>
  </si>
  <si>
    <t>Total cost of loan</t>
  </si>
  <si>
    <t>Total Interest</t>
  </si>
  <si>
    <t>Number of payments</t>
  </si>
  <si>
    <t>Monthly payment</t>
  </si>
  <si>
    <t>Start date of loan</t>
  </si>
  <si>
    <t>Loan periods in years</t>
  </si>
  <si>
    <t>Annual Interest Rate</t>
  </si>
  <si>
    <t>Loan Amount</t>
  </si>
  <si>
    <t>Enter values</t>
  </si>
  <si>
    <t>For the Period Ended December 31, 2024</t>
  </si>
  <si>
    <t>Executive Summary</t>
  </si>
  <si>
    <t>Founding Team</t>
  </si>
  <si>
    <t>Fund Objective</t>
  </si>
  <si>
    <t>Fund Structure</t>
  </si>
  <si>
    <r>
      <t>Purpose</t>
    </r>
    <r>
      <rPr>
        <sz val="12"/>
        <rFont val="Calibri"/>
        <family val="2"/>
        <scheme val="minor"/>
      </rPr>
      <t>: Track modifications made to the workbook over time.</t>
    </r>
  </si>
  <si>
    <r>
      <t>Benefit</t>
    </r>
    <r>
      <rPr>
        <sz val="12"/>
        <rFont val="Calibri"/>
        <family val="2"/>
        <scheme val="minor"/>
      </rPr>
      <t>: Keeps a record for accountability and assists in version control.</t>
    </r>
  </si>
  <si>
    <r>
      <t>Purpose</t>
    </r>
    <r>
      <rPr>
        <sz val="12"/>
        <rFont val="Calibri"/>
        <family val="2"/>
        <scheme val="minor"/>
      </rPr>
      <t>: Explain technical terms and acronyms used throughout the workbook.</t>
    </r>
  </si>
  <si>
    <r>
      <t>Explanations</t>
    </r>
    <r>
      <rPr>
        <sz val="12"/>
        <rFont val="Calibri"/>
        <family val="2"/>
        <scheme val="minor"/>
      </rPr>
      <t xml:space="preserve"> of industry-specific jargon.</t>
    </r>
  </si>
  <si>
    <r>
      <t>Benefit</t>
    </r>
    <r>
      <rPr>
        <sz val="12"/>
        <rFont val="Calibri"/>
        <family val="2"/>
        <scheme val="minor"/>
      </rPr>
      <t>: Makes the workbook more user-friendly, especially for those new to fund accounting.</t>
    </r>
  </si>
  <si>
    <r>
      <t>Number of Investors</t>
    </r>
    <r>
      <rPr>
        <sz val="12"/>
        <rFont val="Calibri"/>
        <family val="2"/>
        <scheme val="minor"/>
      </rPr>
      <t xml:space="preserve">: </t>
    </r>
  </si>
  <si>
    <r>
      <t>GP Interest</t>
    </r>
    <r>
      <rPr>
        <sz val="12"/>
        <rFont val="Calibri"/>
        <family val="2"/>
        <scheme val="minor"/>
      </rPr>
      <t xml:space="preserve">: </t>
    </r>
  </si>
  <si>
    <r>
      <t>Investors' Shares</t>
    </r>
    <r>
      <rPr>
        <sz val="12"/>
        <rFont val="Calibri"/>
        <family val="2"/>
        <scheme val="minor"/>
      </rPr>
      <t xml:space="preserve">: </t>
    </r>
  </si>
  <si>
    <r>
      <t>Laundromat</t>
    </r>
    <r>
      <rPr>
        <sz val="12"/>
        <rFont val="Calibri"/>
        <family val="2"/>
        <scheme val="minor"/>
      </rPr>
      <t>: Regularly review financial performance, ensure steady cash flow, and explore opportunities for operational improvements if needed.</t>
    </r>
  </si>
  <si>
    <r>
      <t>AI-Driven Startup</t>
    </r>
    <r>
      <rPr>
        <sz val="12"/>
        <rFont val="Calibri"/>
        <family val="2"/>
        <scheme val="minor"/>
      </rPr>
      <t>: Support the startup in scaling operations, track performance metrics, and assist in strategic initiatives to enhance growth.</t>
    </r>
  </si>
  <si>
    <r>
      <t>E-Commerce Loan</t>
    </r>
    <r>
      <rPr>
        <sz val="12"/>
        <rFont val="Calibri"/>
        <family val="2"/>
        <scheme val="minor"/>
      </rPr>
      <t>: Monitor the borrower’s progress, ensure timely interest payments, and manage the full repayment of principal at year-end.</t>
    </r>
  </si>
  <si>
    <r>
      <t>Construction Loan</t>
    </r>
    <r>
      <rPr>
        <sz val="12"/>
        <rFont val="Calibri"/>
        <family val="2"/>
        <scheme val="minor"/>
      </rPr>
      <t>: Oversee the construction project’s progress, ensure compliance with loan terms, and manage repayments based on the borrower’s chosen option.</t>
    </r>
  </si>
  <si>
    <r>
      <t>Regular Reporting</t>
    </r>
    <r>
      <rPr>
        <sz val="12"/>
        <rFont val="Calibri"/>
        <family val="2"/>
        <scheme val="minor"/>
      </rPr>
      <t>: Provide quarterly updates on each investment’s performance, including financial statements, progress reports, and strategic insights.</t>
    </r>
  </si>
  <si>
    <r>
      <t>Performance Metrics</t>
    </r>
    <r>
      <rPr>
        <sz val="12"/>
        <rFont val="Calibri"/>
        <family val="2"/>
        <scheme val="minor"/>
      </rPr>
      <t>: Track ROI, cash flow, project completion status, and loan performance.</t>
    </r>
  </si>
  <si>
    <r>
      <t>Communication</t>
    </r>
    <r>
      <rPr>
        <sz val="12"/>
        <rFont val="Calibri"/>
        <family val="2"/>
        <scheme val="minor"/>
      </rPr>
      <t>: Maintain transparent and regular communication with all investors through updates, financial reports, and meetings.</t>
    </r>
  </si>
  <si>
    <r>
      <t>Meetings</t>
    </r>
    <r>
      <rPr>
        <sz val="12"/>
        <rFont val="Calibri"/>
        <family val="2"/>
        <scheme val="minor"/>
      </rPr>
      <t>: Conduct bi-annual meetings to review fund performance, discuss strategies, and address any concerns.</t>
    </r>
  </si>
  <si>
    <r>
      <t>Diversification</t>
    </r>
    <r>
      <rPr>
        <sz val="12"/>
        <rFont val="Calibri"/>
        <family val="2"/>
        <scheme val="minor"/>
      </rPr>
      <t>: Ensure the portfolio remains diversified to balance risk across different sectors and investment types.</t>
    </r>
  </si>
  <si>
    <r>
      <t>Due Diligence</t>
    </r>
    <r>
      <rPr>
        <sz val="12"/>
        <rFont val="Calibri"/>
        <family val="2"/>
        <scheme val="minor"/>
      </rPr>
      <t>: Continue thorough due diligence on new opportunities and manage existing investments to mitigate risks.</t>
    </r>
  </si>
  <si>
    <r>
      <t>E-Commerce Loan Repayment</t>
    </r>
    <r>
      <rPr>
        <sz val="12"/>
        <rFont val="Calibri"/>
        <family val="2"/>
        <scheme val="minor"/>
      </rPr>
      <t>: The fund will receive and distribute the full principal and interest payments to investors.</t>
    </r>
  </si>
  <si>
    <r>
      <t>Laundromat Sale</t>
    </r>
    <r>
      <rPr>
        <sz val="12"/>
        <rFont val="Calibri"/>
        <family val="2"/>
        <scheme val="minor"/>
      </rPr>
      <t>: The proceeds will be reinvested into the AI-driven startup to support its growth.</t>
    </r>
  </si>
  <si>
    <r>
      <t>AI-Driven Startup IPO</t>
    </r>
    <r>
      <rPr>
        <sz val="12"/>
        <rFont val="Calibri"/>
        <family val="2"/>
        <scheme val="minor"/>
      </rPr>
      <t>: Returns are realized based on the public offering valuation of the startup.</t>
    </r>
  </si>
  <si>
    <r>
      <t>Construction Loan Repayment</t>
    </r>
    <r>
      <rPr>
        <sz val="12"/>
        <rFont val="Calibri"/>
        <family val="2"/>
        <scheme val="minor"/>
      </rPr>
      <t>: The loan repayment will be completed, and the fund will be closed.</t>
    </r>
  </si>
  <si>
    <t>Output Data</t>
  </si>
  <si>
    <t>Formulas</t>
  </si>
  <si>
    <t>Important Information</t>
  </si>
  <si>
    <t>Capital Call Schedule</t>
  </si>
  <si>
    <t>Distribution Schedule</t>
  </si>
  <si>
    <t>Investment Portfolio</t>
  </si>
  <si>
    <t>Fund Overview</t>
  </si>
  <si>
    <t>Fund Name</t>
  </si>
  <si>
    <t>https://ilpa.org/resource/ilpa-reporting-template-xlsx/</t>
  </si>
  <si>
    <t>Good Practices Fund I, L.P.</t>
  </si>
  <si>
    <t>Fund Type</t>
  </si>
  <si>
    <t>Investment Horizon</t>
  </si>
  <si>
    <t>Target Return</t>
  </si>
  <si>
    <t>Private Equity Fund</t>
  </si>
  <si>
    <t>15-20% Internal Rate of Return (IRR)</t>
  </si>
  <si>
    <t>The "Good Practices Fund I, L.P." is a newly established investment fund designed to strategically and diversely invest across multiple business sectors. Our primary objective is to generate strong returns for investors by employing a balanced approach that includes full ownership, equity stakes, and strategic loans. The fund’s initial capital will be allocated across a laundromat, an e-commerce business, an AI company, and a construction loan, creating a portfolio that balances growth potential with income stability.</t>
  </si>
  <si>
    <r>
      <t>Principal:</t>
    </r>
    <r>
      <rPr>
        <sz val="12"/>
        <rFont val="Calibri"/>
        <family val="2"/>
        <scheme val="minor"/>
      </rPr>
      <t xml:space="preserve"> [Name] - A seasoned private equity professional with extensive experience in managing investments and executing mergers and acquisitions. [Include relevant achievements or credentials].</t>
    </r>
  </si>
  <si>
    <r>
      <t xml:space="preserve">Co-Founders: </t>
    </r>
    <r>
      <rPr>
        <sz val="12"/>
        <rFont val="Calibri"/>
        <family val="2"/>
        <scheme val="minor"/>
      </rPr>
      <t>A team of experienced investors and industry experts with complementary expertise in finance, business management, and strategic development.</t>
    </r>
  </si>
  <si>
    <r>
      <t>Goal</t>
    </r>
    <r>
      <rPr>
        <sz val="12"/>
        <rFont val="Calibri"/>
        <family val="2"/>
        <scheme val="minor"/>
      </rPr>
      <t>: To deliver attractive returns for investors by maintaining a diversified investment portfolio that includes high-growth opportunities and stable income sources.</t>
    </r>
  </si>
  <si>
    <r>
      <t>Investment Strategy</t>
    </r>
    <r>
      <rPr>
        <sz val="12"/>
        <rFont val="Calibri"/>
        <family val="2"/>
        <scheme val="minor"/>
      </rPr>
      <t>: The fund will focus on businesses with proven revenue models, substantial growth potential, and opportunities for value creation through strategic improvements and operational efficiencies.</t>
    </r>
  </si>
  <si>
    <t>(1 General Partner (GP) and 6 Limited Partners (LPs))</t>
  </si>
  <si>
    <t>(allocated among the 6 LPs)</t>
  </si>
  <si>
    <t>Date of Investment</t>
  </si>
  <si>
    <t>Expected Exit Date</t>
  </si>
  <si>
    <t>Estimated Valuation</t>
  </si>
  <si>
    <t>Investment Date</t>
  </si>
  <si>
    <t>Monthly Cash Flow</t>
  </si>
  <si>
    <t>Cash buyout to acquire full ownership of the laundromat, including purchase price and associated acquisition costs.</t>
  </si>
  <si>
    <t>Net profit generated annually from laundromat operations, distributed monthly.</t>
  </si>
  <si>
    <t>Date when the investment is made and the laundromat acquisition is completed.</t>
  </si>
  <si>
    <t>Anticipated date for selling the laundromat, marking the end of the investment period.</t>
  </si>
  <si>
    <t>5x</t>
  </si>
  <si>
    <t>Valuation is based on a multiple of the annual net cash flow, reflecting the typical market range for similar businesses.</t>
  </si>
  <si>
    <t>Projected sale value of the laundromat at exit, calculated using the valuation multiple applied to the annual net cash flow.</t>
  </si>
  <si>
    <t>The investment is expected to provide stable monthly cash flow with low</t>
  </si>
  <si>
    <t>No dividends are expected during the investment period, assuming reinvestment into business growth.</t>
  </si>
  <si>
    <t>Date when the investment is expected to be exited, typically through a sale or initial public offering (IPO).</t>
  </si>
  <si>
    <t>Portion of the investment provided as equity</t>
  </si>
  <si>
    <t>Portion of the investment provided as debt</t>
  </si>
  <si>
    <t>Paid to investors quarterly (applicable to equity portion)</t>
  </si>
  <si>
    <t>Annual interest rate for the debt portion</t>
  </si>
  <si>
    <t>Date when the investment was made</t>
  </si>
  <si>
    <t>Date when the investment matures or exits</t>
  </si>
  <si>
    <t>Invest in a startup with the goal to sell or go public (IPO)</t>
  </si>
  <si>
    <t>Monthly interest and principal payments; 7-year amortization schedule with early payoff option</t>
  </si>
  <si>
    <t>Assumed exit multiple on equity investment</t>
  </si>
  <si>
    <t>Assumed annual return on equity investment, considering potential growth and market conditions</t>
  </si>
  <si>
    <t>Loan payment distributed to investors monthly</t>
  </si>
  <si>
    <t>Monthly interest and principal payments; 3 year amortization schedule with early payoff option</t>
  </si>
  <si>
    <t>Expected Equity Proceeds</t>
  </si>
  <si>
    <t>Cash investment for acquiring a 15% equity stake in an AI Tech business.</t>
  </si>
  <si>
    <t>Date when the investment is made and the equity stake in the AI Tech business is acquired.</t>
  </si>
  <si>
    <t>Multiple applied to the annual revenue of the AI Tech business to determine the valuation.</t>
  </si>
  <si>
    <t>Estimated valuation of the AI Tech business based on the valuation multiple applied to projected annual revenue.</t>
  </si>
  <si>
    <t>High growth potential due to the expanding AI Tech market, reflecting a higher risk profile.</t>
  </si>
  <si>
    <t>Proceeds from the exit will be distributed to investors based on their equity stake in the AI Tech business.</t>
  </si>
  <si>
    <t>100% Owned Small Business</t>
  </si>
  <si>
    <t>Common stock, 15% Owned</t>
  </si>
  <si>
    <t>Preferred stock, 50% Owned</t>
  </si>
  <si>
    <t>Compliance fees payable</t>
  </si>
  <si>
    <t>These fees can be recurring and are typically accrued or paid as incurred, depending on the agreement.</t>
  </si>
  <si>
    <t>Usually incurred as services are rendered. Typically accrued if not paid immediately, as they are ongoing costs related to legal services.</t>
  </si>
  <si>
    <t>Often paid monthly or quarterly, typically accrued and recognized as expenses in the period they are incurred.</t>
  </si>
  <si>
    <t>Usually accrued based on the service period and paid out per the agreement with directors. Can also be paid in advance, depending on the arrangement.</t>
  </si>
  <si>
    <t>Similar to legal fees, can be accrued as services are utilized and recognized as expenses in the period they are incurred.</t>
  </si>
  <si>
    <t>Usually one-time fees incurred for specific transactions, may be expensed immediately or accrued if payment is delayed.</t>
  </si>
  <si>
    <t>Certain costs can be capitalized and allocated over the fund period rather than expensed immediately.</t>
  </si>
  <si>
    <t>Start Effective Date</t>
  </si>
  <si>
    <t>Legal fee</t>
  </si>
  <si>
    <t>Fund admin</t>
  </si>
  <si>
    <t>Director fee</t>
  </si>
  <si>
    <t>Compliance fee</t>
  </si>
  <si>
    <t>Data market fee</t>
  </si>
  <si>
    <t>Due diligence fee</t>
  </si>
  <si>
    <t>Other professional fee</t>
  </si>
  <si>
    <r>
      <t xml:space="preserve">Legal fees for ongoing services related to fund management, </t>
    </r>
    <r>
      <rPr>
        <sz val="12"/>
        <color rgb="FFFF0000"/>
        <rFont val="Calibri"/>
        <family val="2"/>
        <scheme val="minor"/>
      </rPr>
      <t>paid monthly.</t>
    </r>
  </si>
  <si>
    <r>
      <t xml:space="preserve">Fees paid to directors for their services during the fund’s management period, </t>
    </r>
    <r>
      <rPr>
        <sz val="12"/>
        <color rgb="FFFF0000"/>
        <rFont val="Calibri"/>
        <family val="2"/>
        <scheme val="minor"/>
      </rPr>
      <t>paid monthly.</t>
    </r>
  </si>
  <si>
    <r>
      <t>Costs associated with ensuring compliance with regulatory requirements,</t>
    </r>
    <r>
      <rPr>
        <sz val="12"/>
        <color rgb="FFFF0000"/>
        <rFont val="Calibri"/>
        <family val="2"/>
        <scheme val="minor"/>
      </rPr>
      <t xml:space="preserve"> paid monthly.</t>
    </r>
  </si>
  <si>
    <r>
      <t xml:space="preserve">Expenses for accessing data services used for investment analysis and management, </t>
    </r>
    <r>
      <rPr>
        <sz val="12"/>
        <color rgb="FFFF0000"/>
        <rFont val="Calibri"/>
        <family val="2"/>
        <scheme val="minor"/>
      </rPr>
      <t>paid monthly.</t>
    </r>
  </si>
  <si>
    <r>
      <t>Administrative fees for managing the fund, often based on the fund’s assets,</t>
    </r>
    <r>
      <rPr>
        <sz val="12"/>
        <color rgb="FFFF0000"/>
        <rFont val="Calibri"/>
        <family val="2"/>
        <scheme val="minor"/>
      </rPr>
      <t xml:space="preserve"> paid end of the service year. </t>
    </r>
  </si>
  <si>
    <r>
      <t xml:space="preserve">Costs for due diligence services during investment evaluations, </t>
    </r>
    <r>
      <rPr>
        <sz val="12"/>
        <color rgb="FFFF0000"/>
        <rFont val="Calibri"/>
        <family val="2"/>
        <scheme val="minor"/>
      </rPr>
      <t>one time payment.</t>
    </r>
  </si>
  <si>
    <t>E-commerce Loan</t>
  </si>
  <si>
    <t>Check Payment</t>
  </si>
  <si>
    <t>Variances</t>
  </si>
  <si>
    <t>Budget</t>
  </si>
  <si>
    <t>*assume prepaid.</t>
  </si>
  <si>
    <t>Management fees charged annually on committed capital, typically paid quarterly. Covers fund operation costs and compensates the general partner for managing the fund.</t>
  </si>
  <si>
    <t>Other accrued expenses</t>
  </si>
  <si>
    <t>Realized Investment gains/losses</t>
  </si>
  <si>
    <t>Unrealized Investment gains/losses</t>
  </si>
  <si>
    <t>Realized gains/losses from foreign currency transactions</t>
  </si>
  <si>
    <t>Unrealized gains/losses on translation of assets and liabilities</t>
  </si>
  <si>
    <t>Gain/Losses</t>
  </si>
  <si>
    <t>Other expenses</t>
  </si>
  <si>
    <t>Other assets</t>
  </si>
  <si>
    <t>Account payable</t>
  </si>
  <si>
    <t>Cash and equivalents</t>
  </si>
  <si>
    <t>Mapping</t>
  </si>
  <si>
    <t>Post Fee Balance Sheet</t>
  </si>
  <si>
    <t>Professional fee expense</t>
  </si>
  <si>
    <t>Compliance fee expense</t>
  </si>
  <si>
    <t>Legal fee payable</t>
  </si>
  <si>
    <t>Fund administration fee payable</t>
  </si>
  <si>
    <t>Director fee payable</t>
  </si>
  <si>
    <t>Compliance fee payable</t>
  </si>
  <si>
    <t>Insurance fee payable</t>
  </si>
  <si>
    <t>Data market fee payable</t>
  </si>
  <si>
    <t>Due diligence fee payable</t>
  </si>
  <si>
    <t>Other professional fee payable</t>
  </si>
  <si>
    <t>Accrued management fee</t>
  </si>
  <si>
    <t>Hurdle @ 8%</t>
  </si>
  <si>
    <t>Change</t>
  </si>
  <si>
    <t>Cash Flow Statement</t>
  </si>
  <si>
    <t>Annual</t>
  </si>
  <si>
    <t>Balance as of</t>
  </si>
  <si>
    <t>Formujla reference</t>
  </si>
  <si>
    <t>Cash Flows from Operating Activities</t>
  </si>
  <si>
    <t>Net Cash Provided by Operating Activities</t>
  </si>
  <si>
    <t>Cash Flows from Investing Activities</t>
  </si>
  <si>
    <t>Cash Flows from Financing Activities</t>
  </si>
  <si>
    <t>Cash on Balance Sheet</t>
  </si>
  <si>
    <t>Performance Fee</t>
  </si>
  <si>
    <t>Increase in accrued expenses</t>
  </si>
  <si>
    <t>Increase in fund administration fee payable</t>
  </si>
  <si>
    <t>Increase in prepaid expenses</t>
  </si>
  <si>
    <t>Decrease in capital contributions receivable</t>
  </si>
  <si>
    <t>Net realized gain (loss) from investments</t>
  </si>
  <si>
    <t>Net realized gain (loss) from foreign currency transactions</t>
  </si>
  <si>
    <t xml:space="preserve">Net change in unrealized foreign currency gains and losses </t>
  </si>
  <si>
    <t>Net increase in partners' capital from operations</t>
  </si>
  <si>
    <t>Adjustments to reconcile net increase in partners' capital to net cash provided by operating activities:</t>
  </si>
  <si>
    <t>Changes in operating assets and liabilities:</t>
  </si>
  <si>
    <t>Purchase of investments</t>
  </si>
  <si>
    <t>Proceeds from sale of investments</t>
  </si>
  <si>
    <t>Increase in loan/notes receivable</t>
  </si>
  <si>
    <t>Net cash used in investing activities</t>
  </si>
  <si>
    <t>Net cash provided by financing activities</t>
  </si>
  <si>
    <t>Net increase in cash and cash equivalents</t>
  </si>
  <si>
    <t>Cash and cash equivalents, beginning of year</t>
  </si>
  <si>
    <t>Cash and cash equivalents, end of year</t>
  </si>
  <si>
    <t>Fair Value before exit</t>
  </si>
  <si>
    <t>Before Exit</t>
  </si>
  <si>
    <t>Estimated total proceeds based on exit multiple and equity amount; $4,000,000 equity * 3.0x exit multiple</t>
  </si>
  <si>
    <t>Net Cash</t>
  </si>
  <si>
    <t>P&amp;L</t>
  </si>
  <si>
    <t>LP6</t>
  </si>
  <si>
    <t>ITD Interest Income</t>
  </si>
  <si>
    <t>ITD Dividend Income</t>
  </si>
  <si>
    <t>Prepaid assets</t>
  </si>
  <si>
    <t>Other liabilities</t>
  </si>
  <si>
    <t>Investor contributions</t>
  </si>
  <si>
    <t>Investor redemptions</t>
  </si>
  <si>
    <t>Interest income</t>
  </si>
  <si>
    <t>Dividend income</t>
  </si>
  <si>
    <t>Salaries and wages</t>
  </si>
  <si>
    <t>Realized investment gains/losses</t>
  </si>
  <si>
    <t>Unrealized investment gains/losses</t>
  </si>
  <si>
    <t>5. Mgmt. Fee</t>
  </si>
  <si>
    <t>Redemptions</t>
  </si>
  <si>
    <t>Total Capital Activities</t>
  </si>
  <si>
    <t>1. GP's 1% Interest:</t>
  </si>
  <si>
    <t>The GP's 1% interest is usually treated as a co-investment alongside the LPs.</t>
  </si>
  <si>
    <t>This means the GP is investing their own capital and is entitled to 1% of the fund's profits before any performance fee calculations.</t>
  </si>
  <si>
    <t>2. Performance Fee Calculation:</t>
  </si>
  <si>
    <t>The performance fee (typically 20% of profits above a hurdle rate) is calculated on the entire fund's performance, including the GP's 1% interest.</t>
  </si>
  <si>
    <t>3. Allocation of Performance Fee:</t>
  </si>
  <si>
    <t>The performance fee is generally allocated entirely to the GP entity, not to the individual LPs.</t>
  </si>
  <si>
    <t>This means that the GP receives the performance fee on 99% of the fund (the LP portion) plus their pro-rata share of profits on their 1% co-investment.</t>
  </si>
  <si>
    <t>4. GP's Total Return:</t>
  </si>
  <si>
    <t>The GP ultimately receives:</t>
  </si>
  <si>
    <t>a) Their share of profits on their 1% co-investment (treated like an LP)</t>
  </si>
  <si>
    <t>b) The full performance fee calculated on the fund's overall performance</t>
  </si>
  <si>
    <t>5. LP's Return:</t>
  </si>
  <si>
    <t>LPs receive their share of profits minus the performance fee paid to the GP.</t>
  </si>
  <si>
    <t>It's important to note that the GP does not pay a performance fee to itself on its own 1% interest. The performance fee is a mechanism for the GP to share in the profits generated for the LPs, incentivizing the GP to maximize returns for all investors.This structure aligns the interests of the GP with those of the LPs, as the GP benefits both from their co-investment and from generating strong returns for the entire fund.However, specific arrangements can vary between funds, and the exact treatment of the GP's interest should be clearly outlined in the fund's partnership agreement or offering documents.</t>
  </si>
  <si>
    <t>Common practices in private equity fund accounting, here's how the performance fee (carried interest) allocation typically works when the GP has a 1% interest in the fund:</t>
  </si>
  <si>
    <t>% Owned of the Fund</t>
  </si>
  <si>
    <t>% in th LP</t>
  </si>
  <si>
    <t>1. GPs do not pay management fees:</t>
  </si>
  <si>
    <t>Management fees are charged by the GP entity to the fund and ultimately paid by the Limited Partners (LPs).</t>
  </si>
  <si>
    <t>The management fee is usually around 2% of the fund's assets under management (AUM) per year.</t>
  </si>
  <si>
    <t>2. Purpose of management fees:</t>
  </si>
  <si>
    <t>Management fees are used to cover the operational expenses of running the fund, including salaries, office rent, travel, and other overhead costs.</t>
  </si>
  <si>
    <t>3. Flow of management fees:</t>
  </si>
  <si>
    <t>The management fee is collected from the fund's assets (which are contributed by the LPs).</t>
  </si>
  <si>
    <t>It typically flows through the GP entity to a separate management company (often the private equity or venture capital firm itself).</t>
  </si>
  <si>
    <t>4. GP compensation structure:</t>
  </si>
  <si>
    <t>GPs are usually compensated in two main ways:</t>
  </si>
  <si>
    <t>a) Management fees (as described above)</t>
  </si>
  <si>
    <t>b) Carried interest (typically 20% of the fund's profits above a certain threshold)</t>
  </si>
  <si>
    <t>5. GP's investment in the fund:</t>
  </si>
  <si>
    <t>GPs often invest their own capital in the fund (typically around 1-5% of the total fund size).</t>
  </si>
  <si>
    <t>On this personal investment, GPs are treated like other LPs and do not pay management fees to themselves.</t>
  </si>
  <si>
    <t>6. Alignment of interests:</t>
  </si>
  <si>
    <t>The management fee structure is designed to cover operational costs while the carried interest aligns the GP's interests with those of the LPs by tying a significant portion of GP compensation to fund performance.</t>
  </si>
  <si>
    <t>In summary, GPs do not pay management fees; instead, they receive management fees from the fund to cover operational expenses. The GP's personal investment in the fund (if any) is treated like other LP investments and is not subject to management fees.</t>
  </si>
  <si>
    <t>Common practices in private equity and venture capital fund structures, here's how management fees typically work for General Partners (GPs):</t>
  </si>
  <si>
    <t>Investor ID</t>
  </si>
  <si>
    <t>Dashboard</t>
  </si>
  <si>
    <t>Data Repository</t>
  </si>
  <si>
    <t>1. Dashboard and Data</t>
  </si>
  <si>
    <t>TOC (Table of Contents)</t>
  </si>
  <si>
    <t>Group</t>
  </si>
  <si>
    <t>Tab Name</t>
  </si>
  <si>
    <t>Key performance indicators and summary metrics</t>
  </si>
  <si>
    <t>Central data storage feeding other tabs</t>
  </si>
  <si>
    <t>2. Business Operations</t>
  </si>
  <si>
    <t>Business Plan</t>
  </si>
  <si>
    <t>Overview of fund strategy and objectives</t>
  </si>
  <si>
    <t>Schedule for first loan</t>
  </si>
  <si>
    <t>Schedule for second loan</t>
  </si>
  <si>
    <t>3. Financial Statements</t>
  </si>
  <si>
    <t>Journal Entries</t>
  </si>
  <si>
    <t>Detailed accounting entries</t>
  </si>
  <si>
    <t>Summary of all accounts</t>
  </si>
  <si>
    <t>Balance Sheet</t>
  </si>
  <si>
    <t>Statement of financial position</t>
  </si>
  <si>
    <t>Income Statement</t>
  </si>
  <si>
    <t>Statement of profit and loss</t>
  </si>
  <si>
    <t>Changes in Partners' Capital</t>
  </si>
  <si>
    <t>Statement of changes in equity</t>
  </si>
  <si>
    <t>Statement of cash flows</t>
  </si>
  <si>
    <t>Detailed list of fund investments</t>
  </si>
  <si>
    <t>Investor Allocations</t>
  </si>
  <si>
    <t>Breakdown of investor ownership percentages</t>
  </si>
  <si>
    <t>Investor Capital Accounts</t>
  </si>
  <si>
    <t>Individual investor account statements</t>
  </si>
  <si>
    <t>5. Fund Administration</t>
  </si>
  <si>
    <t>List of all accounting codes</t>
  </si>
  <si>
    <t>Bank Reconciliation</t>
  </si>
  <si>
    <t>Bank statement reconciliation</t>
  </si>
  <si>
    <t>Glossary</t>
  </si>
  <si>
    <t>Definitions of key terms</t>
  </si>
  <si>
    <t>Change Log</t>
  </si>
  <si>
    <t>Record of model updates and changes</t>
  </si>
  <si>
    <t>This Table of Contents (TOC) provides an overview of all tabs in this Excel workbook. To navigate:</t>
  </si>
  <si>
    <t>1. Click on any tab name in the "Tab Name" column to go directly to that sheet.</t>
  </si>
  <si>
    <t>2. Use the color-coding to identify different functional groups within the model.</t>
  </si>
  <si>
    <t>3. Each tab contains a "Return to TOC" button in cell A1 for easy navigation back to this page.</t>
  </si>
  <si>
    <t>4. For definitions of terms used throughout the model, refer to the Glossary tab.</t>
  </si>
  <si>
    <t>5. Check the Change Log tab for recent updates to the model.</t>
  </si>
  <si>
    <t>DISCLAIMER: This model is intended for informational purposes only and should not be relied upon as a substitute for professional advice. The data used in this model may not be entirely accurate or up-to-date, and the model is based on certain assumptions that may not reflect actual conditions. This model does not provide any guarantees or warranties.</t>
  </si>
  <si>
    <t>Projected cash activities including capital activity, income and expenses, and fees</t>
  </si>
  <si>
    <t>7 Years. Duration of the investment</t>
  </si>
  <si>
    <t>Apartment Complex Loan</t>
  </si>
  <si>
    <t>Monthly Income</t>
  </si>
  <si>
    <t>Exit date of loan</t>
  </si>
  <si>
    <t>Portfolio IRR</t>
  </si>
  <si>
    <t>Fund IRR</t>
  </si>
  <si>
    <t>Proceeds from AI Tech and Prepaid Loan Balance</t>
  </si>
  <si>
    <t>Year 1 Fund cash flows: Collect all cash inflows (capital calls from investors) and outflows (distributions to investors) over the life of the fund, including their respective dates</t>
  </si>
  <si>
    <t>*NAV</t>
  </si>
  <si>
    <t>MOIC</t>
  </si>
  <si>
    <t>Total Value to Paid-In Capital = Current Net Asset Value + Total Distributions</t>
  </si>
  <si>
    <t>Paid-In Capital = Total amount invested by limited partners</t>
  </si>
  <si>
    <t>Cash-on-Cash Return = (Total Distributions) / (Paid-In Capital)</t>
  </si>
  <si>
    <t>Cash-on-Cash Return</t>
  </si>
  <si>
    <t>MOIC shows the total return multiple, including both realized and unrealized gains.</t>
  </si>
  <si>
    <t>Cash-on-Cash Return:</t>
  </si>
  <si>
    <t>Fund Level For Investors</t>
  </si>
  <si>
    <t>MOIC = (Total Value to Paid-In Capital) / (Paid-In Capital)</t>
  </si>
  <si>
    <t>Analyze the performance and financial health of the fund and its investments.</t>
  </si>
  <si>
    <t>Ending Partners's Capital</t>
  </si>
  <si>
    <t>ROIC</t>
  </si>
  <si>
    <t>*Return on Invested Capital (ROIC) is a financial metric used to assess a company's efficiency at allocating the capital under its control to profitable investments. It measures the return generated on the capital invested in the business.</t>
  </si>
  <si>
    <t>Stats Tables</t>
  </si>
  <si>
    <t>ROIC=Net Operating Profit After Tax NOPAT /Invested Capital</t>
  </si>
  <si>
    <t>AUM</t>
  </si>
  <si>
    <t>Other variables such as investment duration, risk rating, realized returns percentage, sector representation, return volatility, or projected growth rate could provide deeper insights into the performance and characteristics of your portfolio investments as well.</t>
  </si>
  <si>
    <t>Duration (Months)</t>
  </si>
  <si>
    <t>Date of Change</t>
  </si>
  <si>
    <t>Description of Change</t>
  </si>
  <si>
    <t>Person Responsible</t>
  </si>
  <si>
    <t>Definitions</t>
  </si>
  <si>
    <t>Net Asset Value (NAV)</t>
  </si>
  <si>
    <t>The total value of a fund's assets minus its liabilities. NAV is often calculated daily and is used to determine the price per share of a mutual fund or other investment vehicle</t>
  </si>
  <si>
    <t>Subscriptions and Redemptions</t>
  </si>
  <si>
    <t>Subscriptions refer to the purchase of shares in a fund by investors, while redemptions involve selling shares back to the fund. These transactions affect the fund's cash flow and NAV</t>
  </si>
  <si>
    <t>Fair Value Measurement</t>
  </si>
  <si>
    <t>The process of estimating the market value of a fund's investments, often required for financial reporting purposes. Fair value reflects the price at which an asset could be exchanged between knowledgeable parties</t>
  </si>
  <si>
    <t>Date Posted</t>
  </si>
  <si>
    <t>Customer Reference</t>
  </si>
  <si>
    <t>Bank Reference</t>
  </si>
  <si>
    <t>Deposits and Credits</t>
  </si>
  <si>
    <t>Withdrawals and Debits</t>
  </si>
  <si>
    <t>Funds received from Capital Call 1</t>
  </si>
  <si>
    <t>Funds received from Capital Call 2</t>
  </si>
  <si>
    <t>Funds received from Capital Call 3</t>
  </si>
  <si>
    <t>Reflects the reduction in cash and cash equivalents as $1,000,000 is used to purchase the investment.</t>
  </si>
  <si>
    <t>Reflects the reduction in cash and cash equivalents as $5,000,000 is used to purchase the investment.</t>
  </si>
  <si>
    <t>Reflects the reduction in cash and cash equivalents as $3,000,000 is used to purchase the equity investment.</t>
  </si>
  <si>
    <t>Reflects the outflow of cash as $3,000,000 is provided as a loan to the E-commerce business.</t>
  </si>
  <si>
    <t>Reflects the outflow of cash as $3,500,000 is disbursed for the apartment construction loan.</t>
  </si>
  <si>
    <t>Cash received from the sale of AI Tech investments.</t>
  </si>
  <si>
    <t>Cash outflow reflecting the redemption payments made to investors.</t>
  </si>
  <si>
    <t>Cash received as prepaid proceeds for the construction loan.</t>
  </si>
  <si>
    <t>Payment for legal fee - January 2024</t>
  </si>
  <si>
    <t>Payment for legal fee - February 2024</t>
  </si>
  <si>
    <t>Payment for legal fee - March 2024</t>
  </si>
  <si>
    <t>Payment for legal fee - April 2024</t>
  </si>
  <si>
    <t>Payment for legal fee - May 2024</t>
  </si>
  <si>
    <t>Payment for legal fee - June 2024</t>
  </si>
  <si>
    <t>Payment for legal fee - July 2024</t>
  </si>
  <si>
    <t>Payment for legal fee - August 2024</t>
  </si>
  <si>
    <t>Payment for legal fee - September 2024</t>
  </si>
  <si>
    <t>Payment for legal fee - October 2024</t>
  </si>
  <si>
    <t>Payment for legal fee - November 2024</t>
  </si>
  <si>
    <t>Payment for legal fee - December 2024</t>
  </si>
  <si>
    <t>Payment for Director fee - January, 2024</t>
  </si>
  <si>
    <t>Payment for Director fee - February, 2024</t>
  </si>
  <si>
    <t>Payment for Director fee - March, 2024</t>
  </si>
  <si>
    <t>Payment for Director fee - April, 2024</t>
  </si>
  <si>
    <t>Payment for Director fee - May, 2024</t>
  </si>
  <si>
    <t>Payment for Director fee - June, 2024</t>
  </si>
  <si>
    <t>Payment for Director fee - July, 2024</t>
  </si>
  <si>
    <t>Payment for Director fee - August, 2024</t>
  </si>
  <si>
    <t>Payment for Director fee - September, 2024</t>
  </si>
  <si>
    <t>Payment for Director fee - October, 2024</t>
  </si>
  <si>
    <t>Payment for Director fee - November, 2024</t>
  </si>
  <si>
    <t>Payment for Director fee - December, 2024</t>
  </si>
  <si>
    <t>Payment for Compliance fee - January 2024</t>
  </si>
  <si>
    <t>Payment for Compliance fee - February 2024</t>
  </si>
  <si>
    <t>Payment for Compliance fee - March 2024</t>
  </si>
  <si>
    <t>Payment for Compliance fee - April 2024</t>
  </si>
  <si>
    <t>Payment for Compliance fee - May 2024</t>
  </si>
  <si>
    <t>Payment for Compliance fee - June 2024</t>
  </si>
  <si>
    <t>Payment for Compliance fee - July 2024</t>
  </si>
  <si>
    <t>Payment for Compliance fee - August 2024</t>
  </si>
  <si>
    <t>Payment for Compliance fee - September 2024</t>
  </si>
  <si>
    <t>Payment for Compliance fee - October 2024</t>
  </si>
  <si>
    <t>Payment for Compliance fee - November 2024</t>
  </si>
  <si>
    <t>Payment for Compliance fee - December 2024</t>
  </si>
  <si>
    <t>Payment for Data Service fee - January 2024</t>
  </si>
  <si>
    <t>Payment for Data Service fee - February 2024</t>
  </si>
  <si>
    <t>Payment for Data Service fee - March 2024</t>
  </si>
  <si>
    <t>Payment for Data Service fee - April 2024</t>
  </si>
  <si>
    <t>Payment for Data Service fee - May 2024</t>
  </si>
  <si>
    <t>Payment for Data Service fee - June 2024</t>
  </si>
  <si>
    <t>Payment for Data Service fee - July 2024</t>
  </si>
  <si>
    <t>Payment for Data Service fee - August 2024</t>
  </si>
  <si>
    <t>Payment for Data Service fee - September 2024</t>
  </si>
  <si>
    <t>Payment for Data Service fee - October 2024</t>
  </si>
  <si>
    <t>Payment for Data Service fee - November 2024</t>
  </si>
  <si>
    <t>Payment for Data Service fee - December 2024</t>
  </si>
  <si>
    <t>Payment of Due diligence fee expense incurred in March 2024</t>
  </si>
  <si>
    <t>Monthly distribution received from laundromat investment - February 2024</t>
  </si>
  <si>
    <t>Monthly distribution received from laundromat investment - March 2024</t>
  </si>
  <si>
    <t>Monthly distribution received from laundromat investment - April 2024</t>
  </si>
  <si>
    <t>Monthly distribution received from laundromat investment - May 2024</t>
  </si>
  <si>
    <t>Monthly distribution received from laundromat investment - June 2024</t>
  </si>
  <si>
    <t>Monthly distribution received from laundromat investment - July 2024</t>
  </si>
  <si>
    <t>Monthly distribution received from laundromat investment - August 2024</t>
  </si>
  <si>
    <t>Monthly distribution received from laundromat investment - September 2024</t>
  </si>
  <si>
    <t>Monthly distribution received from laundromat investment - October 2024</t>
  </si>
  <si>
    <t>Monthly distribution received from laundromat investment - November 2024</t>
  </si>
  <si>
    <t>Monthly distribution received from laundromat investment - December 2024</t>
  </si>
  <si>
    <t>Prorated quarterly dividend received</t>
  </si>
  <si>
    <t>Quarterly dividend received</t>
  </si>
  <si>
    <t>E-commerce interest income received - June 2024</t>
  </si>
  <si>
    <t>E-commerce interest income received - July 2024</t>
  </si>
  <si>
    <t>E-commerce interest income received - August 2024</t>
  </si>
  <si>
    <t>E-commerce interest income received - September 2024</t>
  </si>
  <si>
    <t>E-commerce interest income received - October 2024</t>
  </si>
  <si>
    <t>E-commerce interest income received - November 2024</t>
  </si>
  <si>
    <t>E-commerce interest income received - December 2024</t>
  </si>
  <si>
    <t>Apartment Construction Loan interest income received - June 2024</t>
  </si>
  <si>
    <t>Apartment Construction Loan interest income received - July 2024</t>
  </si>
  <si>
    <t>Apartment Construction Loan interest income received - August 2024</t>
  </si>
  <si>
    <t>Apartment Construction Loan interest income received - September 2024</t>
  </si>
  <si>
    <t>Apartment Construction Loan interest income received - October 2024</t>
  </si>
  <si>
    <t>Apartment Construction Loan interest income received - November 2024</t>
  </si>
  <si>
    <t>Apartment Construction Loan interest income received - December 2024</t>
  </si>
  <si>
    <t>Payment of 1Q 2024 management fees</t>
  </si>
  <si>
    <t>Payment of 2Q 2024 management fees</t>
  </si>
  <si>
    <t>Payment of 3Q 2024 management fees</t>
  </si>
  <si>
    <t>Payment of 4Q 2024 management fees</t>
  </si>
  <si>
    <t>A bank reconciliation is a process that compares your financial records with the bank's records to identify any discrepancies between the two. Here's a step-by-step guide on how to perform a bank reconciliation:</t>
  </si>
  <si>
    <t>1. Gather Statements:</t>
  </si>
  <si>
    <t>Obtain your bank statement and your internal cash records for the same period.</t>
  </si>
  <si>
    <t>2. Compare Balances:</t>
  </si>
  <si>
    <t>Compare the ending balance on your bank statement with the ending balance in your cash records.</t>
  </si>
  <si>
    <t>3. Identify Discrepancies:</t>
  </si>
  <si>
    <t>Look for differences such as outstanding checks, deposits in transit, or bank fees not yet recorded in your books.</t>
  </si>
  <si>
    <t>4. Adjust Records:</t>
  </si>
  <si>
    <t>Make necessary adjustments in your accounting records for any discrepancies found, such as recording bank fees or correcting errors.</t>
  </si>
  <si>
    <t>5. Document Adjustments:</t>
  </si>
  <si>
    <t>Prepare a reconciliation statement documenting all adjustments made to align your records with the bank's.</t>
  </si>
  <si>
    <t>6. Review Regularly:</t>
  </si>
  <si>
    <t>Conduct reconciliations regularly to ensure accuracy and detect any potential fraud or errors early.</t>
  </si>
  <si>
    <t>By following these steps, you can ensure that your financial records accurately reflect your actual cash position and maintain effective financial control</t>
  </si>
  <si>
    <t>Quarter End Cash Per Statement</t>
  </si>
  <si>
    <t>Quarter End</t>
  </si>
  <si>
    <t>Loan Payment Schedule</t>
  </si>
  <si>
    <t>Statement of Changes in Partners' Capital</t>
  </si>
  <si>
    <t>Macro print in a separate file</t>
  </si>
  <si>
    <t>Choose your investor ID</t>
  </si>
  <si>
    <t>* GP as LP</t>
  </si>
  <si>
    <t>GP NAV after performance fee income (GP as LP and GP)</t>
  </si>
  <si>
    <t>4. Investor Information</t>
  </si>
  <si>
    <t>Various professional services related to fund operation.</t>
  </si>
  <si>
    <t>Other monthly operational costs - January 2024</t>
  </si>
  <si>
    <t>Other monthly operational costs - February 2024</t>
  </si>
  <si>
    <t>Other monthly operational costs - March 2024</t>
  </si>
  <si>
    <t>Other monthly operational costs - April 2024</t>
  </si>
  <si>
    <t>Other monthly operational costs - May 2024</t>
  </si>
  <si>
    <t>Other monthly operational costs - June 2024</t>
  </si>
  <si>
    <t>Other monthly operational costs - July 2024</t>
  </si>
  <si>
    <t>Other monthly operational costs - August 2024</t>
  </si>
  <si>
    <t>Other monthly operational costs - September 2024</t>
  </si>
  <si>
    <t>Other monthly operational costs - October 2024</t>
  </si>
  <si>
    <t>Other monthly operational costs - November 2024</t>
  </si>
  <si>
    <t>Other monthly operational costs - December 2024</t>
  </si>
  <si>
    <t>Unfunded commitments</t>
  </si>
  <si>
    <t>40% loan, 60% equity investment structure to an E-commerce company</t>
  </si>
  <si>
    <t>Increase in performance fee payable</t>
  </si>
  <si>
    <t>Notes, 8%, due 5/31/2027, Principal</t>
  </si>
  <si>
    <t>Notes, 15%, due 5/31/2029, Principal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</si>
</sst>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8" formatCode="&quot;$&quot;#,##0.00_);[Red]\(&quot;$&quot;#,##0.00\)"/>
    <numFmt numFmtId="44" formatCode="_(&quot;$&quot;* #,##0.00_);_(&quot;$&quot;* \(#,##0.00\);_(&quot;$&quot;* &quot;-&quot;??_);_(@_)"/>
    <numFmt numFmtId="43" formatCode="_(* #,##0.00_);_(* \(#,##0.00\);_(* &quot;-&quot;??_);_(@_)"/>
    <numFmt numFmtId="164" formatCode="[$-409]mmmm\ d\,\ yyyy;@"/>
    <numFmt numFmtId="165" formatCode="_(* #,##0_);_(* \(#,##0\);_(* &quot;-&quot;??_);_(@_)"/>
    <numFmt numFmtId="166" formatCode="_(&quot;$&quot;* #,##0_);_(&quot;$&quot;* \(#,##0\);_(&quot;$&quot;* &quot;-&quot;??_);_(@_)"/>
    <numFmt numFmtId="167" formatCode="0.0%"/>
    <numFmt numFmtId="168" formatCode="&quot;$&quot;#,##0"/>
  </numFmts>
  <fonts count="41"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2"/>
      <name val="Calibri"/>
      <family val="2"/>
      <scheme val="minor"/>
    </font>
    <font>
      <b/>
      <sz val="12"/>
      <name val="Calibri"/>
      <family val="2"/>
      <scheme val="minor"/>
    </font>
    <font>
      <i/>
      <sz val="12"/>
      <name val="Calibri"/>
      <family val="2"/>
      <scheme val="minor"/>
    </font>
    <font>
      <b/>
      <i/>
      <sz val="12"/>
      <name val="Calibri"/>
      <family val="2"/>
      <scheme val="minor"/>
    </font>
    <font>
      <i/>
      <u/>
      <sz val="12"/>
      <name val="Calibri"/>
      <family val="2"/>
      <scheme val="minor"/>
    </font>
    <font>
      <b/>
      <sz val="18"/>
      <name val="Calibri"/>
      <family val="2"/>
      <scheme val="minor"/>
    </font>
    <font>
      <b/>
      <sz val="16"/>
      <name val="Calibri"/>
      <family val="2"/>
      <scheme val="minor"/>
    </font>
    <font>
      <sz val="16"/>
      <name val="Calibri"/>
      <family val="2"/>
      <scheme val="minor"/>
    </font>
    <font>
      <sz val="12"/>
      <color theme="0"/>
      <name val="Calibri"/>
      <family val="2"/>
      <scheme val="minor"/>
    </font>
    <font>
      <b/>
      <sz val="12"/>
      <color theme="0"/>
      <name val="Calibri"/>
      <family val="2"/>
      <scheme val="minor"/>
    </font>
    <font>
      <b/>
      <i/>
      <sz val="12"/>
      <color theme="0"/>
      <name val="Calibri"/>
      <family val="2"/>
      <scheme val="minor"/>
    </font>
    <font>
      <sz val="12"/>
      <color rgb="FFFF0000"/>
      <name val="Calibri"/>
      <family val="2"/>
      <scheme val="minor"/>
    </font>
    <font>
      <b/>
      <i/>
      <sz val="12"/>
      <color theme="0" tint="-0.14999847407452621"/>
      <name val="Calibri"/>
      <family val="2"/>
      <scheme val="minor"/>
    </font>
    <font>
      <b/>
      <sz val="12"/>
      <color theme="0" tint="-0.14999847407452621"/>
      <name val="Calibri"/>
      <family val="2"/>
      <scheme val="minor"/>
    </font>
    <font>
      <b/>
      <i/>
      <sz val="12"/>
      <color rgb="FFFF0000"/>
      <name val="Calibri"/>
      <family val="2"/>
      <scheme val="minor"/>
    </font>
    <font>
      <sz val="11"/>
      <color rgb="FFFF0000"/>
      <name val="Calibri"/>
      <family val="2"/>
      <scheme val="minor"/>
    </font>
    <font>
      <i/>
      <sz val="12"/>
      <color theme="0" tint="-4.9989318521683403E-2"/>
      <name val="Calibri"/>
      <family val="2"/>
      <scheme val="minor"/>
    </font>
    <font>
      <b/>
      <sz val="12"/>
      <color theme="0" tint="-4.9989318521683403E-2"/>
      <name val="Calibri"/>
      <family val="2"/>
      <scheme val="minor"/>
    </font>
    <font>
      <b/>
      <i/>
      <sz val="12"/>
      <color theme="0" tint="-4.9989318521683403E-2"/>
      <name val="Calibri"/>
      <family val="2"/>
      <scheme val="minor"/>
    </font>
    <font>
      <sz val="12"/>
      <color theme="0" tint="-4.9989318521683403E-2"/>
      <name val="Calibri"/>
      <family val="2"/>
      <scheme val="minor"/>
    </font>
    <font>
      <sz val="11"/>
      <name val="Calibri"/>
      <family val="2"/>
      <scheme val="minor"/>
    </font>
    <font>
      <b/>
      <sz val="12"/>
      <color rgb="FFFF0000"/>
      <name val="Calibri"/>
      <family val="2"/>
      <scheme val="minor"/>
    </font>
    <font>
      <sz val="8"/>
      <name val="Calibri"/>
      <family val="2"/>
      <scheme val="minor"/>
    </font>
    <font>
      <i/>
      <sz val="12"/>
      <color theme="0" tint="-0.249977111117893"/>
      <name val="Calibri"/>
      <family val="2"/>
      <scheme val="minor"/>
    </font>
    <font>
      <b/>
      <sz val="11"/>
      <color rgb="FF9C0006"/>
      <name val="Calibri"/>
      <family val="2"/>
      <scheme val="minor"/>
    </font>
    <font>
      <sz val="12"/>
      <color theme="1"/>
      <name val="Calibri"/>
      <family val="2"/>
      <scheme val="minor"/>
    </font>
    <font>
      <i/>
      <sz val="10"/>
      <color theme="1"/>
      <name val="Calibri"/>
      <family val="2"/>
      <scheme val="minor"/>
    </font>
    <font>
      <i/>
      <sz val="10"/>
      <color rgb="FF4D4D4C"/>
      <name val="Calibri"/>
      <family val="2"/>
      <scheme val="minor"/>
    </font>
    <font>
      <i/>
      <sz val="10"/>
      <name val="Calibri"/>
      <family val="2"/>
      <scheme val="minor"/>
    </font>
    <font>
      <i/>
      <sz val="10"/>
      <color rgb="FFFF0000"/>
      <name val="Calibri"/>
      <family val="2"/>
      <scheme val="minor"/>
    </font>
    <font>
      <b/>
      <sz val="11"/>
      <color rgb="FFFF0000"/>
      <name val="Calibri"/>
      <family val="2"/>
      <scheme val="minor"/>
    </font>
    <font>
      <i/>
      <sz val="12"/>
      <color rgb="FFFF0000"/>
      <name val="Calibri"/>
      <family val="2"/>
      <scheme val="minor"/>
    </font>
    <font>
      <sz val="12"/>
      <color theme="7" tint="0.79998168889431442"/>
      <name val="Calibri"/>
      <family val="2"/>
      <scheme val="minor"/>
    </font>
  </fonts>
  <fills count="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0" tint="-0.14999847407452621"/>
        <bgColor indexed="64"/>
      </patternFill>
    </fill>
    <fill>
      <patternFill patternType="solid">
        <fgColor rgb="FF00B0F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4" tint="0.79998168889431442"/>
        <bgColor indexed="64"/>
      </patternFill>
    </fill>
  </fills>
  <borders count="6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dotted">
        <color indexed="64"/>
      </left>
      <right style="dotted">
        <color indexed="64"/>
      </right>
      <top style="dotted">
        <color indexed="64"/>
      </top>
      <bottom style="dotted">
        <color indexed="64"/>
      </bottom>
      <diagonal/>
    </border>
    <border>
      <left style="hair">
        <color theme="4" tint="-0.499984740745262"/>
      </left>
      <right style="medium">
        <color theme="4" tint="-0.499984740745262"/>
      </right>
      <top style="hair">
        <color theme="4" tint="-0.499984740745262"/>
      </top>
      <bottom style="medium">
        <color theme="4" tint="-0.499984740745262"/>
      </bottom>
      <diagonal/>
    </border>
    <border>
      <left style="hair">
        <color theme="4" tint="-0.499984740745262"/>
      </left>
      <right style="hair">
        <color theme="4" tint="-0.499984740745262"/>
      </right>
      <top style="hair">
        <color theme="4" tint="-0.499984740745262"/>
      </top>
      <bottom style="medium">
        <color theme="4" tint="-0.499984740745262"/>
      </bottom>
      <diagonal/>
    </border>
    <border>
      <left style="medium">
        <color theme="4" tint="-0.499984740745262"/>
      </left>
      <right style="hair">
        <color theme="4" tint="-0.499984740745262"/>
      </right>
      <top style="hair">
        <color theme="4" tint="-0.499984740745262"/>
      </top>
      <bottom style="medium">
        <color theme="4" tint="-0.499984740745262"/>
      </bottom>
      <diagonal/>
    </border>
    <border>
      <left style="hair">
        <color theme="4" tint="-0.499984740745262"/>
      </left>
      <right style="medium">
        <color theme="4" tint="-0.499984740745262"/>
      </right>
      <top style="hair">
        <color theme="4" tint="-0.499984740745262"/>
      </top>
      <bottom style="hair">
        <color theme="4" tint="-0.499984740745262"/>
      </bottom>
      <diagonal/>
    </border>
    <border>
      <left style="medium">
        <color theme="4" tint="-0.499984740745262"/>
      </left>
      <right style="hair">
        <color theme="4" tint="-0.499984740745262"/>
      </right>
      <top style="hair">
        <color theme="4" tint="-0.499984740745262"/>
      </top>
      <bottom style="hair">
        <color theme="4" tint="-0.499984740745262"/>
      </bottom>
      <diagonal/>
    </border>
    <border>
      <left style="hair">
        <color theme="4" tint="-0.499984740745262"/>
      </left>
      <right style="medium">
        <color theme="4" tint="-0.499984740745262"/>
      </right>
      <top style="medium">
        <color theme="4" tint="-0.499984740745262"/>
      </top>
      <bottom style="hair">
        <color theme="4" tint="-0.499984740745262"/>
      </bottom>
      <diagonal/>
    </border>
    <border>
      <left style="hair">
        <color theme="4" tint="-0.499984740745262"/>
      </left>
      <right style="hair">
        <color theme="4" tint="-0.499984740745262"/>
      </right>
      <top style="medium">
        <color theme="4" tint="-0.499984740745262"/>
      </top>
      <bottom style="hair">
        <color theme="4" tint="-0.499984740745262"/>
      </bottom>
      <diagonal/>
    </border>
    <border>
      <left style="medium">
        <color theme="4" tint="-0.499984740745262"/>
      </left>
      <right style="hair">
        <color theme="4" tint="-0.499984740745262"/>
      </right>
      <top style="medium">
        <color theme="4" tint="-0.499984740745262"/>
      </top>
      <bottom style="hair">
        <color theme="4" tint="-0.499984740745262"/>
      </bottom>
      <diagonal/>
    </border>
    <border>
      <left/>
      <right style="hair">
        <color theme="4" tint="-0.499984740745262"/>
      </right>
      <top style="hair">
        <color theme="4" tint="-0.499984740745262"/>
      </top>
      <bottom style="hair">
        <color theme="4" tint="-0.499984740745262"/>
      </bottom>
      <diagonal/>
    </border>
    <border>
      <left style="hair">
        <color theme="4" tint="-0.499984740745262"/>
      </left>
      <right/>
      <top style="hair">
        <color theme="4" tint="-0.499984740745262"/>
      </top>
      <bottom style="hair">
        <color theme="4" tint="-0.499984740745262"/>
      </bottom>
      <diagonal/>
    </border>
    <border>
      <left/>
      <right/>
      <top style="thin">
        <color theme="4" tint="-0.499984740745262"/>
      </top>
      <bottom style="double">
        <color theme="4" tint="-0.499984740745262"/>
      </bottom>
      <diagonal/>
    </border>
    <border>
      <left/>
      <right/>
      <top style="thin">
        <color theme="4" tint="-0.499984740745262"/>
      </top>
      <bottom style="medium">
        <color theme="4" tint="-0.499984740745262"/>
      </bottom>
      <diagonal/>
    </border>
    <border>
      <left/>
      <right/>
      <top/>
      <bottom style="hair">
        <color theme="4" tint="-0.499984740745262"/>
      </bottom>
      <diagonal/>
    </border>
    <border>
      <left style="medium">
        <color theme="4" tint="-0.499984740745262"/>
      </left>
      <right style="medium">
        <color theme="4" tint="-0.499984740745262"/>
      </right>
      <top style="medium">
        <color theme="4" tint="-0.499984740745262"/>
      </top>
      <bottom style="medium">
        <color theme="4" tint="-0.499984740745262"/>
      </bottom>
      <diagonal/>
    </border>
    <border>
      <left/>
      <right/>
      <top style="thin">
        <color theme="4" tint="-0.499984740745262"/>
      </top>
      <bottom style="thin">
        <color theme="4" tint="-0.499984740745262"/>
      </bottom>
      <diagonal/>
    </border>
    <border>
      <left style="hair">
        <color theme="4" tint="-0.499984740745262"/>
      </left>
      <right/>
      <top style="medium">
        <color theme="4" tint="-0.499984740745262"/>
      </top>
      <bottom style="hair">
        <color theme="4" tint="-0.499984740745262"/>
      </bottom>
      <diagonal/>
    </border>
    <border>
      <left/>
      <right style="hair">
        <color theme="4" tint="-0.499984740745262"/>
      </right>
      <top style="medium">
        <color theme="4" tint="-0.499984740745262"/>
      </top>
      <bottom style="hair">
        <color theme="4" tint="-0.499984740745262"/>
      </bottom>
      <diagonal/>
    </border>
    <border>
      <left style="hair">
        <color theme="4" tint="-0.499984740745262"/>
      </left>
      <right style="hair">
        <color theme="4" tint="-0.499984740745262"/>
      </right>
      <top/>
      <bottom style="hair">
        <color theme="4" tint="-0.499984740745262"/>
      </bottom>
      <diagonal/>
    </border>
    <border>
      <left style="medium">
        <color theme="4" tint="-0.499984740745262"/>
      </left>
      <right style="hair">
        <color theme="4" tint="-0.499984740745262"/>
      </right>
      <top style="medium">
        <color theme="4" tint="-0.499984740745262"/>
      </top>
      <bottom/>
      <diagonal/>
    </border>
    <border>
      <left style="hair">
        <color theme="4" tint="-0.499984740745262"/>
      </left>
      <right style="hair">
        <color theme="4" tint="-0.499984740745262"/>
      </right>
      <top style="medium">
        <color theme="4" tint="-0.499984740745262"/>
      </top>
      <bottom/>
      <diagonal/>
    </border>
    <border>
      <left style="hair">
        <color theme="4" tint="-0.499984740745262"/>
      </left>
      <right style="medium">
        <color theme="4" tint="-0.499984740745262"/>
      </right>
      <top style="medium">
        <color theme="4"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hair">
        <color rgb="FF002060"/>
      </left>
      <right style="hair">
        <color rgb="FF002060"/>
      </right>
      <top style="hair">
        <color rgb="FF002060"/>
      </top>
      <bottom style="hair">
        <color rgb="FF002060"/>
      </bottom>
      <diagonal/>
    </border>
    <border>
      <left style="medium">
        <color rgb="FF002060"/>
      </left>
      <right style="hair">
        <color theme="4" tint="-0.499984740745262"/>
      </right>
      <top style="medium">
        <color rgb="FF002060"/>
      </top>
      <bottom style="hair">
        <color theme="4" tint="-0.499984740745262"/>
      </bottom>
      <diagonal/>
    </border>
    <border>
      <left style="hair">
        <color theme="4" tint="-0.499984740745262"/>
      </left>
      <right style="hair">
        <color theme="4" tint="-0.499984740745262"/>
      </right>
      <top style="medium">
        <color rgb="FF002060"/>
      </top>
      <bottom style="hair">
        <color theme="4" tint="-0.499984740745262"/>
      </bottom>
      <diagonal/>
    </border>
    <border>
      <left style="hair">
        <color theme="4" tint="-0.499984740745262"/>
      </left>
      <right style="medium">
        <color rgb="FF002060"/>
      </right>
      <top style="medium">
        <color rgb="FF002060"/>
      </top>
      <bottom style="hair">
        <color theme="4" tint="-0.499984740745262"/>
      </bottom>
      <diagonal/>
    </border>
    <border>
      <left style="medium">
        <color rgb="FF002060"/>
      </left>
      <right style="hair">
        <color theme="4" tint="-0.499984740745262"/>
      </right>
      <top style="hair">
        <color theme="4" tint="-0.499984740745262"/>
      </top>
      <bottom style="hair">
        <color theme="4" tint="-0.499984740745262"/>
      </bottom>
      <diagonal/>
    </border>
    <border>
      <left style="hair">
        <color theme="4" tint="-0.499984740745262"/>
      </left>
      <right style="medium">
        <color rgb="FF002060"/>
      </right>
      <top style="hair">
        <color theme="4" tint="-0.499984740745262"/>
      </top>
      <bottom style="hair">
        <color theme="4" tint="-0.499984740745262"/>
      </bottom>
      <diagonal/>
    </border>
    <border>
      <left style="medium">
        <color rgb="FF002060"/>
      </left>
      <right style="hair">
        <color theme="4" tint="-0.499984740745262"/>
      </right>
      <top style="hair">
        <color theme="4" tint="-0.499984740745262"/>
      </top>
      <bottom style="medium">
        <color rgb="FF002060"/>
      </bottom>
      <diagonal/>
    </border>
    <border>
      <left style="hair">
        <color theme="4" tint="-0.499984740745262"/>
      </left>
      <right style="hair">
        <color theme="4" tint="-0.499984740745262"/>
      </right>
      <top style="hair">
        <color theme="4" tint="-0.499984740745262"/>
      </top>
      <bottom style="medium">
        <color rgb="FF002060"/>
      </bottom>
      <diagonal/>
    </border>
    <border>
      <left style="hair">
        <color theme="4" tint="-0.499984740745262"/>
      </left>
      <right style="medium">
        <color rgb="FF002060"/>
      </right>
      <top style="hair">
        <color theme="4" tint="-0.499984740745262"/>
      </top>
      <bottom style="medium">
        <color rgb="FF002060"/>
      </bottom>
      <diagonal/>
    </border>
    <border>
      <left style="medium">
        <color rgb="FF002060"/>
      </left>
      <right style="hair">
        <color rgb="FF002060"/>
      </right>
      <top style="medium">
        <color rgb="FF002060"/>
      </top>
      <bottom style="hair">
        <color rgb="FF002060"/>
      </bottom>
      <diagonal/>
    </border>
    <border>
      <left style="hair">
        <color rgb="FF002060"/>
      </left>
      <right style="hair">
        <color rgb="FF002060"/>
      </right>
      <top style="medium">
        <color rgb="FF002060"/>
      </top>
      <bottom style="hair">
        <color rgb="FF002060"/>
      </bottom>
      <diagonal/>
    </border>
    <border>
      <left style="hair">
        <color rgb="FF002060"/>
      </left>
      <right style="medium">
        <color rgb="FF002060"/>
      </right>
      <top style="medium">
        <color rgb="FF002060"/>
      </top>
      <bottom style="hair">
        <color rgb="FF002060"/>
      </bottom>
      <diagonal/>
    </border>
    <border>
      <left style="medium">
        <color rgb="FF002060"/>
      </left>
      <right style="hair">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medium">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
      <left/>
      <right/>
      <top style="thin">
        <color rgb="FF002060"/>
      </top>
      <bottom style="medium">
        <color rgb="FF002060"/>
      </bottom>
      <diagonal/>
    </border>
    <border>
      <left/>
      <right/>
      <top/>
      <bottom style="hair">
        <color rgb="FF002060"/>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0" borderId="0" applyNumberFormat="0" applyFill="0" applyBorder="0" applyAlignment="0" applyProtection="0"/>
  </cellStyleXfs>
  <cellXfs count="565">
    <xf numFmtId="0" fontId="0" fillId="0" borderId="0" xfId="0"/>
    <xf numFmtId="0" fontId="5" fillId="0" borderId="0" xfId="0" applyFont="1"/>
    <xf numFmtId="165" fontId="0" fillId="0" borderId="0" xfId="1" applyNumberFormat="1" applyFont="1"/>
    <xf numFmtId="14" fontId="5" fillId="0" borderId="0" xfId="0" applyNumberFormat="1" applyFont="1"/>
    <xf numFmtId="14" fontId="8" fillId="10" borderId="12" xfId="0" applyNumberFormat="1" applyFont="1" applyFill="1" applyBorder="1" applyAlignment="1">
      <alignment horizontal="right" vertical="center" wrapText="1"/>
    </xf>
    <xf numFmtId="168" fontId="8" fillId="10" borderId="12" xfId="2" applyNumberFormat="1" applyFont="1" applyFill="1" applyBorder="1" applyAlignment="1">
      <alignment horizontal="right" vertical="center"/>
    </xf>
    <xf numFmtId="167" fontId="8" fillId="10" borderId="12" xfId="3" applyNumberFormat="1" applyFont="1" applyFill="1" applyBorder="1" applyAlignment="1">
      <alignment horizontal="right" vertical="center"/>
    </xf>
    <xf numFmtId="1" fontId="8" fillId="10" borderId="12" xfId="0" applyNumberFormat="1" applyFont="1" applyFill="1" applyBorder="1" applyAlignment="1">
      <alignment horizontal="right" vertical="center"/>
    </xf>
    <xf numFmtId="14" fontId="8" fillId="10" borderId="12" xfId="0" applyNumberFormat="1" applyFont="1" applyFill="1" applyBorder="1" applyAlignment="1">
      <alignment horizontal="right" vertical="center"/>
    </xf>
    <xf numFmtId="0" fontId="8" fillId="10" borderId="12" xfId="0" applyFont="1" applyFill="1" applyBorder="1" applyAlignment="1">
      <alignment horizontal="right" vertical="center" wrapText="1"/>
    </xf>
    <xf numFmtId="0" fontId="8" fillId="0" borderId="0" xfId="0" applyFont="1"/>
    <xf numFmtId="0" fontId="9" fillId="0" borderId="0" xfId="0" applyFont="1"/>
    <xf numFmtId="0" fontId="8" fillId="0" borderId="0" xfId="0" applyFont="1" applyAlignment="1">
      <alignment horizontal="right"/>
    </xf>
    <xf numFmtId="0" fontId="8" fillId="0" borderId="0" xfId="0" applyFont="1" applyAlignment="1">
      <alignment horizontal="center"/>
    </xf>
    <xf numFmtId="0" fontId="8" fillId="0" borderId="4" xfId="0" applyFont="1" applyBorder="1"/>
    <xf numFmtId="0" fontId="9" fillId="0" borderId="5" xfId="0" applyFont="1" applyBorder="1"/>
    <xf numFmtId="0" fontId="8" fillId="0" borderId="5" xfId="0" applyFont="1" applyBorder="1"/>
    <xf numFmtId="0" fontId="8" fillId="0" borderId="5" xfId="0" applyFont="1" applyBorder="1" applyAlignment="1">
      <alignment horizontal="right"/>
    </xf>
    <xf numFmtId="0" fontId="8" fillId="0" borderId="5" xfId="0" applyFont="1" applyBorder="1" applyAlignment="1">
      <alignment horizontal="center"/>
    </xf>
    <xf numFmtId="0" fontId="8" fillId="0" borderId="6" xfId="0" applyFont="1" applyBorder="1"/>
    <xf numFmtId="0" fontId="8" fillId="0" borderId="7" xfId="0" applyFont="1" applyBorder="1"/>
    <xf numFmtId="0" fontId="8" fillId="0" borderId="8" xfId="0" applyFont="1" applyBorder="1"/>
    <xf numFmtId="164" fontId="8" fillId="10" borderId="0" xfId="0" applyNumberFormat="1" applyFont="1" applyFill="1"/>
    <xf numFmtId="14" fontId="8" fillId="0" borderId="0" xfId="0" applyNumberFormat="1" applyFont="1" applyAlignment="1">
      <alignment horizontal="right"/>
    </xf>
    <xf numFmtId="0" fontId="8" fillId="10" borderId="0" xfId="0" applyFont="1" applyFill="1" applyAlignment="1">
      <alignment horizontal="center"/>
    </xf>
    <xf numFmtId="0" fontId="8" fillId="0" borderId="9" xfId="0" applyFont="1" applyBorder="1"/>
    <xf numFmtId="0" fontId="9" fillId="0" borderId="10" xfId="0" applyFont="1" applyBorder="1"/>
    <xf numFmtId="0" fontId="8" fillId="0" borderId="10" xfId="0" applyFont="1" applyBorder="1"/>
    <xf numFmtId="0" fontId="8" fillId="0" borderId="10" xfId="0" applyFont="1" applyBorder="1" applyAlignment="1">
      <alignment horizontal="right"/>
    </xf>
    <xf numFmtId="0" fontId="8" fillId="0" borderId="10" xfId="0" applyFont="1" applyBorder="1" applyAlignment="1">
      <alignment horizontal="center"/>
    </xf>
    <xf numFmtId="0" fontId="8" fillId="0" borderId="11" xfId="0" applyFont="1" applyBorder="1"/>
    <xf numFmtId="0" fontId="10" fillId="0" borderId="0" xfId="0" applyFont="1"/>
    <xf numFmtId="0" fontId="11" fillId="0" borderId="0" xfId="0" applyFont="1"/>
    <xf numFmtId="0" fontId="10" fillId="0" borderId="0" xfId="0" applyFont="1" applyAlignment="1">
      <alignment horizontal="center" vertical="center"/>
    </xf>
    <xf numFmtId="14" fontId="12" fillId="0" borderId="0" xfId="7" applyNumberFormat="1" applyFont="1"/>
    <xf numFmtId="43" fontId="10" fillId="0" borderId="0" xfId="1" applyFont="1"/>
    <xf numFmtId="0" fontId="12" fillId="0" borderId="0" xfId="7" applyFont="1"/>
    <xf numFmtId="14" fontId="10" fillId="0" borderId="0" xfId="0" applyNumberFormat="1" applyFont="1"/>
    <xf numFmtId="44" fontId="10" fillId="0" borderId="0" xfId="2" applyFont="1"/>
    <xf numFmtId="165" fontId="10" fillId="0" borderId="0" xfId="1" applyNumberFormat="1" applyFont="1"/>
    <xf numFmtId="14" fontId="8" fillId="0" borderId="0" xfId="4" applyNumberFormat="1" applyFont="1" applyFill="1"/>
    <xf numFmtId="0" fontId="8" fillId="0" borderId="0" xfId="4" applyFont="1" applyFill="1"/>
    <xf numFmtId="43" fontId="8" fillId="0" borderId="0" xfId="1" applyFont="1" applyFill="1"/>
    <xf numFmtId="165" fontId="8" fillId="0" borderId="0" xfId="1" applyNumberFormat="1" applyFont="1" applyFill="1"/>
    <xf numFmtId="14" fontId="8" fillId="0" borderId="0" xfId="0" applyNumberFormat="1" applyFont="1"/>
    <xf numFmtId="0" fontId="8" fillId="0" borderId="0" xfId="5" applyFont="1" applyFill="1"/>
    <xf numFmtId="0" fontId="12" fillId="0" borderId="0" xfId="0" applyFont="1"/>
    <xf numFmtId="0" fontId="9" fillId="0" borderId="1" xfId="0" applyFont="1" applyBorder="1"/>
    <xf numFmtId="14" fontId="9" fillId="0" borderId="1" xfId="0" applyNumberFormat="1" applyFont="1" applyBorder="1"/>
    <xf numFmtId="0" fontId="8" fillId="11" borderId="0" xfId="0" applyFont="1" applyFill="1"/>
    <xf numFmtId="0" fontId="8" fillId="12" borderId="0" xfId="0" applyFont="1" applyFill="1"/>
    <xf numFmtId="0" fontId="9" fillId="0" borderId="0" xfId="0" applyFont="1" applyAlignment="1">
      <alignment horizontal="center"/>
    </xf>
    <xf numFmtId="14" fontId="9" fillId="0" borderId="0" xfId="0" applyNumberFormat="1" applyFont="1"/>
    <xf numFmtId="43" fontId="9" fillId="0" borderId="0" xfId="1" applyFont="1"/>
    <xf numFmtId="43" fontId="8" fillId="0" borderId="0" xfId="1" applyFont="1"/>
    <xf numFmtId="6" fontId="8" fillId="0" borderId="0" xfId="0" applyNumberFormat="1" applyFont="1"/>
    <xf numFmtId="44" fontId="8" fillId="0" borderId="0" xfId="2" applyFont="1" applyBorder="1"/>
    <xf numFmtId="0" fontId="11" fillId="5" borderId="0" xfId="0" applyFont="1" applyFill="1"/>
    <xf numFmtId="0" fontId="10" fillId="5" borderId="0" xfId="0" applyFont="1" applyFill="1"/>
    <xf numFmtId="14" fontId="10" fillId="5" borderId="0" xfId="0" applyNumberFormat="1" applyFont="1" applyFill="1"/>
    <xf numFmtId="44" fontId="8" fillId="0" borderId="0" xfId="0" applyNumberFormat="1" applyFont="1"/>
    <xf numFmtId="44" fontId="9" fillId="0" borderId="0" xfId="0" applyNumberFormat="1" applyFont="1"/>
    <xf numFmtId="44" fontId="8" fillId="3" borderId="0" xfId="5" applyNumberFormat="1" applyFont="1"/>
    <xf numFmtId="10" fontId="8" fillId="0" borderId="0" xfId="0" applyNumberFormat="1" applyFont="1"/>
    <xf numFmtId="44" fontId="9" fillId="0" borderId="0" xfId="2" applyFont="1"/>
    <xf numFmtId="14" fontId="9" fillId="0" borderId="0" xfId="2" applyNumberFormat="1" applyFont="1"/>
    <xf numFmtId="14" fontId="9" fillId="0" borderId="0" xfId="2" applyNumberFormat="1" applyFont="1" applyFill="1"/>
    <xf numFmtId="14" fontId="11" fillId="0" borderId="0" xfId="2" applyNumberFormat="1" applyFont="1"/>
    <xf numFmtId="14" fontId="10" fillId="0" borderId="0" xfId="2" applyNumberFormat="1" applyFont="1"/>
    <xf numFmtId="14" fontId="8" fillId="0" borderId="0" xfId="2" applyNumberFormat="1" applyFont="1"/>
    <xf numFmtId="14" fontId="8" fillId="0" borderId="0" xfId="2" applyNumberFormat="1" applyFont="1" applyFill="1"/>
    <xf numFmtId="44" fontId="8" fillId="0" borderId="0" xfId="2" applyFont="1"/>
    <xf numFmtId="166" fontId="8" fillId="5" borderId="0" xfId="2" applyNumberFormat="1" applyFont="1" applyFill="1"/>
    <xf numFmtId="44" fontId="8" fillId="0" borderId="0" xfId="2" applyFont="1" applyFill="1"/>
    <xf numFmtId="0" fontId="8" fillId="0" borderId="0" xfId="0" applyFont="1" applyAlignment="1">
      <alignment horizontal="left" wrapText="1"/>
    </xf>
    <xf numFmtId="44" fontId="8" fillId="0" borderId="0" xfId="2" applyFont="1" applyFill="1" applyBorder="1"/>
    <xf numFmtId="166" fontId="8" fillId="5" borderId="1" xfId="2" applyNumberFormat="1" applyFont="1" applyFill="1" applyBorder="1"/>
    <xf numFmtId="44" fontId="9" fillId="0" borderId="0" xfId="2" applyFont="1" applyFill="1"/>
    <xf numFmtId="166" fontId="9" fillId="0" borderId="0" xfId="2" applyNumberFormat="1" applyFont="1"/>
    <xf numFmtId="166" fontId="8" fillId="0" borderId="0" xfId="2" applyNumberFormat="1" applyFont="1"/>
    <xf numFmtId="166" fontId="8" fillId="0" borderId="0" xfId="0" applyNumberFormat="1" applyFont="1"/>
    <xf numFmtId="166" fontId="8" fillId="8" borderId="0" xfId="2" applyNumberFormat="1" applyFont="1" applyFill="1"/>
    <xf numFmtId="44" fontId="8" fillId="0" borderId="0" xfId="5" applyNumberFormat="1" applyFont="1" applyFill="1"/>
    <xf numFmtId="44" fontId="9" fillId="0" borderId="2" xfId="2" applyFont="1" applyBorder="1"/>
    <xf numFmtId="44" fontId="9" fillId="0" borderId="0" xfId="2" applyFont="1" applyFill="1" applyBorder="1"/>
    <xf numFmtId="166" fontId="9" fillId="0" borderId="2" xfId="2" applyNumberFormat="1" applyFont="1" applyBorder="1"/>
    <xf numFmtId="44" fontId="8" fillId="5" borderId="0" xfId="2" applyFont="1" applyFill="1"/>
    <xf numFmtId="44" fontId="9" fillId="0" borderId="0" xfId="2" applyFont="1" applyFill="1" applyBorder="1" applyAlignment="1">
      <alignment horizontal="right"/>
    </xf>
    <xf numFmtId="166" fontId="8" fillId="0" borderId="0" xfId="2" applyNumberFormat="1" applyFont="1" applyFill="1"/>
    <xf numFmtId="166" fontId="9" fillId="0" borderId="0" xfId="2" applyNumberFormat="1" applyFont="1" applyFill="1" applyBorder="1"/>
    <xf numFmtId="166" fontId="9" fillId="0" borderId="0" xfId="2" applyNumberFormat="1" applyFont="1" applyFill="1"/>
    <xf numFmtId="166" fontId="8" fillId="3" borderId="0" xfId="2" applyNumberFormat="1" applyFont="1" applyFill="1"/>
    <xf numFmtId="44" fontId="8" fillId="3" borderId="0" xfId="2" applyFont="1" applyFill="1"/>
    <xf numFmtId="0" fontId="10" fillId="7" borderId="0" xfId="0" applyFont="1" applyFill="1"/>
    <xf numFmtId="166" fontId="10" fillId="7" borderId="0" xfId="2" applyNumberFormat="1" applyFont="1" applyFill="1"/>
    <xf numFmtId="9" fontId="8" fillId="0" borderId="0" xfId="0" applyNumberFormat="1" applyFont="1"/>
    <xf numFmtId="165" fontId="8" fillId="0" borderId="0" xfId="1" applyNumberFormat="1" applyFont="1"/>
    <xf numFmtId="15" fontId="8" fillId="0" borderId="0" xfId="0" quotePrefix="1" applyNumberFormat="1" applyFont="1" applyAlignment="1">
      <alignment horizontal="center"/>
    </xf>
    <xf numFmtId="43" fontId="8" fillId="0" borderId="0" xfId="0" applyNumberFormat="1" applyFont="1"/>
    <xf numFmtId="14" fontId="10" fillId="9" borderId="0" xfId="0" applyNumberFormat="1" applyFont="1" applyFill="1" applyAlignment="1">
      <alignment horizontal="center"/>
    </xf>
    <xf numFmtId="14" fontId="8" fillId="0" borderId="0" xfId="0" applyNumberFormat="1" applyFont="1" applyAlignment="1">
      <alignment horizontal="center"/>
    </xf>
    <xf numFmtId="43" fontId="8" fillId="3" borderId="0" xfId="1" applyFont="1" applyFill="1"/>
    <xf numFmtId="14" fontId="9" fillId="5" borderId="3" xfId="0" applyNumberFormat="1" applyFont="1" applyFill="1" applyBorder="1" applyAlignment="1">
      <alignment horizontal="left" vertical="top" wrapText="1"/>
    </xf>
    <xf numFmtId="165" fontId="9" fillId="5" borderId="3" xfId="1" applyNumberFormat="1" applyFont="1" applyFill="1" applyBorder="1" applyAlignment="1">
      <alignment horizontal="left" vertical="top" wrapText="1"/>
    </xf>
    <xf numFmtId="0" fontId="8" fillId="0" borderId="0" xfId="0" applyFont="1" applyAlignment="1">
      <alignment horizontal="left" vertical="top"/>
    </xf>
    <xf numFmtId="43" fontId="8" fillId="0" borderId="0" xfId="1" applyFont="1" applyAlignment="1">
      <alignment horizontal="left" vertical="top"/>
    </xf>
    <xf numFmtId="0" fontId="9" fillId="13" borderId="12" xfId="0" applyFont="1" applyFill="1" applyBorder="1" applyAlignment="1">
      <alignment vertical="center" wrapText="1"/>
    </xf>
    <xf numFmtId="0" fontId="8" fillId="0" borderId="0" xfId="0" applyFont="1" applyAlignment="1">
      <alignment horizontal="left" vertical="top" wrapText="1"/>
    </xf>
    <xf numFmtId="0" fontId="8" fillId="0" borderId="0" xfId="0" applyFont="1" applyAlignment="1">
      <alignment horizontal="left" vertical="center" indent="1"/>
    </xf>
    <xf numFmtId="44" fontId="8" fillId="13" borderId="0" xfId="2" applyFont="1" applyFill="1"/>
    <xf numFmtId="10" fontId="8" fillId="13" borderId="0" xfId="0" applyNumberFormat="1" applyFont="1" applyFill="1"/>
    <xf numFmtId="0" fontId="8" fillId="13" borderId="0" xfId="0" applyFont="1" applyFill="1"/>
    <xf numFmtId="14" fontId="8" fillId="13" borderId="0" xfId="0" applyNumberFormat="1" applyFont="1" applyFill="1"/>
    <xf numFmtId="8" fontId="8" fillId="5" borderId="0" xfId="0" applyNumberFormat="1" applyFont="1" applyFill="1"/>
    <xf numFmtId="0" fontId="8" fillId="5" borderId="0" xfId="0" applyFont="1" applyFill="1"/>
    <xf numFmtId="44" fontId="8" fillId="5" borderId="0" xfId="0" applyNumberFormat="1" applyFont="1" applyFill="1"/>
    <xf numFmtId="0" fontId="9" fillId="0" borderId="0" xfId="0" applyFont="1" applyAlignment="1">
      <alignment horizontal="center" wrapText="1"/>
    </xf>
    <xf numFmtId="0" fontId="9" fillId="0" borderId="0" xfId="0" applyFont="1" applyAlignment="1">
      <alignment horizontal="left" vertical="center" indent="1"/>
    </xf>
    <xf numFmtId="0" fontId="9" fillId="0" borderId="0" xfId="0" applyFont="1" applyAlignment="1">
      <alignment vertical="center"/>
    </xf>
    <xf numFmtId="0" fontId="9" fillId="0" borderId="0" xfId="0" applyFont="1" applyAlignment="1">
      <alignment horizontal="left" vertical="center" indent="2"/>
    </xf>
    <xf numFmtId="10" fontId="8" fillId="0" borderId="0" xfId="3" applyNumberFormat="1" applyFont="1"/>
    <xf numFmtId="10" fontId="9" fillId="0" borderId="0" xfId="3" applyNumberFormat="1" applyFont="1"/>
    <xf numFmtId="165" fontId="9" fillId="0" borderId="0" xfId="1" applyNumberFormat="1" applyFont="1"/>
    <xf numFmtId="0" fontId="9" fillId="5" borderId="12" xfId="0" applyFont="1" applyFill="1" applyBorder="1" applyAlignment="1">
      <alignment horizontal="center" vertical="center" wrapText="1"/>
    </xf>
    <xf numFmtId="0" fontId="9" fillId="0" borderId="0" xfId="0" applyFont="1" applyAlignment="1">
      <alignment vertical="center" wrapText="1"/>
    </xf>
    <xf numFmtId="0" fontId="9" fillId="0" borderId="1" xfId="0" applyFont="1" applyBorder="1" applyAlignment="1">
      <alignment horizontal="center" wrapText="1"/>
    </xf>
    <xf numFmtId="0" fontId="9" fillId="0" borderId="0" xfId="0" applyFont="1" applyAlignment="1">
      <alignment horizontal="left" vertical="top"/>
    </xf>
    <xf numFmtId="14" fontId="8" fillId="10" borderId="0" xfId="2" applyNumberFormat="1" applyFont="1" applyFill="1" applyBorder="1"/>
    <xf numFmtId="0" fontId="9" fillId="5" borderId="21"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13" borderId="18" xfId="0" applyFont="1" applyFill="1" applyBorder="1" applyAlignment="1">
      <alignment vertical="center" wrapText="1"/>
    </xf>
    <xf numFmtId="168" fontId="8" fillId="10" borderId="12" xfId="2" applyNumberFormat="1" applyFont="1" applyFill="1" applyBorder="1" applyAlignment="1">
      <alignment horizontal="center" vertical="center"/>
    </xf>
    <xf numFmtId="168" fontId="8" fillId="0" borderId="17" xfId="2" applyNumberFormat="1" applyFont="1" applyBorder="1" applyAlignment="1">
      <alignment horizontal="left" vertical="center"/>
    </xf>
    <xf numFmtId="0" fontId="8" fillId="0" borderId="17" xfId="0" applyFont="1" applyBorder="1" applyAlignment="1">
      <alignment horizontal="left" vertical="center" wrapText="1"/>
    </xf>
    <xf numFmtId="0" fontId="9" fillId="13" borderId="16" xfId="0" applyFont="1" applyFill="1" applyBorder="1" applyAlignment="1">
      <alignment vertical="center" wrapText="1"/>
    </xf>
    <xf numFmtId="0" fontId="8" fillId="10" borderId="15" xfId="0" applyFont="1" applyFill="1" applyBorder="1" applyAlignment="1">
      <alignment horizontal="center" vertical="center" wrapText="1"/>
    </xf>
    <xf numFmtId="0" fontId="8" fillId="0" borderId="14" xfId="0" applyFont="1" applyBorder="1" applyAlignment="1">
      <alignment horizontal="left"/>
    </xf>
    <xf numFmtId="168" fontId="8" fillId="0" borderId="12" xfId="2" applyNumberFormat="1" applyFont="1" applyBorder="1" applyAlignment="1">
      <alignment horizontal="center" vertical="center"/>
    </xf>
    <xf numFmtId="0" fontId="8" fillId="0" borderId="15" xfId="0" applyFont="1" applyBorder="1"/>
    <xf numFmtId="168" fontId="8" fillId="10" borderId="15" xfId="2" applyNumberFormat="1" applyFont="1" applyFill="1" applyBorder="1" applyAlignment="1">
      <alignment horizontal="center" vertical="center"/>
    </xf>
    <xf numFmtId="168" fontId="8" fillId="0" borderId="0" xfId="2" applyNumberFormat="1" applyFont="1" applyFill="1" applyBorder="1" applyAlignment="1">
      <alignment horizontal="center" vertical="center"/>
    </xf>
    <xf numFmtId="10" fontId="8" fillId="0" borderId="0" xfId="3" applyNumberFormat="1" applyFont="1" applyFill="1" applyBorder="1" applyAlignment="1">
      <alignment horizontal="center" vertical="center"/>
    </xf>
    <xf numFmtId="0" fontId="9" fillId="5" borderId="13" xfId="0" applyFont="1" applyFill="1" applyBorder="1" applyAlignment="1">
      <alignment horizontal="center" vertical="center" wrapText="1"/>
    </xf>
    <xf numFmtId="0" fontId="9" fillId="13" borderId="13" xfId="0" applyFont="1" applyFill="1" applyBorder="1" applyAlignment="1">
      <alignment vertical="center" wrapText="1"/>
    </xf>
    <xf numFmtId="165" fontId="8" fillId="10" borderId="13" xfId="1" applyNumberFormat="1" applyFont="1" applyFill="1" applyBorder="1" applyAlignment="1">
      <alignment horizontal="center" vertical="center"/>
    </xf>
    <xf numFmtId="10" fontId="8" fillId="0" borderId="13" xfId="3" applyNumberFormat="1" applyFont="1" applyBorder="1" applyAlignment="1">
      <alignment horizontal="center" vertical="center"/>
    </xf>
    <xf numFmtId="165" fontId="8" fillId="10" borderId="13" xfId="1" applyNumberFormat="1" applyFont="1" applyFill="1" applyBorder="1" applyAlignment="1">
      <alignment horizontal="center" vertical="center" wrapText="1"/>
    </xf>
    <xf numFmtId="10" fontId="8" fillId="0" borderId="13" xfId="3" applyNumberFormat="1" applyFont="1" applyBorder="1" applyAlignment="1">
      <alignment horizontal="center" vertical="center" wrapText="1"/>
    </xf>
    <xf numFmtId="165" fontId="9" fillId="10" borderId="13" xfId="1" applyNumberFormat="1" applyFont="1" applyFill="1" applyBorder="1" applyAlignment="1">
      <alignment horizontal="center" vertical="center" wrapText="1"/>
    </xf>
    <xf numFmtId="10" fontId="9" fillId="0" borderId="13" xfId="3" applyNumberFormat="1" applyFont="1" applyBorder="1" applyAlignment="1">
      <alignment horizontal="center" vertical="center" wrapText="1"/>
    </xf>
    <xf numFmtId="168" fontId="8" fillId="0" borderId="0" xfId="0" applyNumberFormat="1" applyFont="1" applyAlignment="1">
      <alignment horizontal="right" vertical="center" wrapText="1"/>
    </xf>
    <xf numFmtId="167" fontId="8" fillId="0" borderId="0" xfId="3" applyNumberFormat="1" applyFont="1" applyBorder="1" applyAlignment="1">
      <alignment horizontal="right"/>
    </xf>
    <xf numFmtId="0" fontId="8" fillId="0" borderId="0" xfId="0" applyFont="1" applyAlignment="1">
      <alignment horizontal="left"/>
    </xf>
    <xf numFmtId="9" fontId="8" fillId="0" borderId="0" xfId="0" applyNumberFormat="1" applyFont="1" applyAlignment="1">
      <alignment horizontal="left"/>
    </xf>
    <xf numFmtId="0" fontId="8" fillId="10" borderId="0" xfId="0" applyFont="1" applyFill="1" applyAlignment="1">
      <alignment horizontal="right"/>
    </xf>
    <xf numFmtId="14" fontId="8" fillId="10" borderId="0" xfId="2" applyNumberFormat="1" applyFont="1" applyFill="1" applyAlignment="1">
      <alignment horizontal="right"/>
    </xf>
    <xf numFmtId="168" fontId="8" fillId="10" borderId="0" xfId="2" applyNumberFormat="1" applyFont="1" applyFill="1" applyAlignment="1">
      <alignment horizontal="right"/>
    </xf>
    <xf numFmtId="1" fontId="8" fillId="10" borderId="0" xfId="1" applyNumberFormat="1" applyFont="1" applyFill="1" applyAlignment="1">
      <alignment horizontal="right" vertical="top"/>
    </xf>
    <xf numFmtId="165" fontId="8" fillId="10" borderId="0" xfId="1" applyNumberFormat="1" applyFont="1" applyFill="1" applyAlignment="1">
      <alignment horizontal="right"/>
    </xf>
    <xf numFmtId="10" fontId="8" fillId="10" borderId="0" xfId="3" applyNumberFormat="1" applyFont="1" applyFill="1" applyAlignment="1">
      <alignment horizontal="right"/>
    </xf>
    <xf numFmtId="10" fontId="8" fillId="10" borderId="0" xfId="0" applyNumberFormat="1" applyFont="1" applyFill="1" applyAlignment="1">
      <alignment horizontal="right"/>
    </xf>
    <xf numFmtId="0" fontId="14" fillId="0" borderId="0" xfId="0" applyFont="1" applyAlignment="1">
      <alignment horizontal="left" vertical="top"/>
    </xf>
    <xf numFmtId="0" fontId="14" fillId="14" borderId="0" xfId="0" applyFont="1" applyFill="1" applyAlignment="1">
      <alignment horizontal="left" vertical="top"/>
    </xf>
    <xf numFmtId="0" fontId="14" fillId="14" borderId="0" xfId="0" applyFont="1" applyFill="1" applyAlignment="1">
      <alignment vertical="center"/>
    </xf>
    <xf numFmtId="0" fontId="15" fillId="0" borderId="0" xfId="0" applyFont="1"/>
    <xf numFmtId="0" fontId="15" fillId="8" borderId="0" xfId="0" applyFont="1" applyFill="1"/>
    <xf numFmtId="0" fontId="14" fillId="0" borderId="0" xfId="0" applyFont="1"/>
    <xf numFmtId="0" fontId="8" fillId="10" borderId="15" xfId="0" applyFont="1" applyFill="1" applyBorder="1" applyAlignment="1">
      <alignment horizontal="right" vertical="center" wrapText="1"/>
    </xf>
    <xf numFmtId="14" fontId="8" fillId="10" borderId="12" xfId="0" applyNumberFormat="1" applyFont="1" applyFill="1" applyBorder="1" applyAlignment="1">
      <alignment horizontal="right"/>
    </xf>
    <xf numFmtId="0" fontId="8" fillId="0" borderId="17" xfId="0" applyFont="1" applyBorder="1"/>
    <xf numFmtId="10" fontId="8" fillId="0" borderId="17" xfId="3" applyNumberFormat="1" applyFont="1" applyBorder="1" applyAlignment="1">
      <alignment horizontal="left" vertical="center" wrapText="1"/>
    </xf>
    <xf numFmtId="10" fontId="7" fillId="8" borderId="0" xfId="3" applyNumberFormat="1" applyFont="1" applyFill="1"/>
    <xf numFmtId="14" fontId="9" fillId="8" borderId="0" xfId="0" applyNumberFormat="1" applyFont="1" applyFill="1"/>
    <xf numFmtId="44" fontId="8" fillId="8" borderId="0" xfId="2" applyFont="1" applyFill="1"/>
    <xf numFmtId="44" fontId="9" fillId="8" borderId="0" xfId="2" applyFont="1" applyFill="1"/>
    <xf numFmtId="10" fontId="8" fillId="10" borderId="12" xfId="0" applyNumberFormat="1" applyFont="1" applyFill="1" applyBorder="1" applyAlignment="1">
      <alignment horizontal="right" vertical="center" wrapText="1"/>
    </xf>
    <xf numFmtId="10" fontId="8" fillId="10" borderId="12" xfId="0" applyNumberFormat="1" applyFont="1" applyFill="1" applyBorder="1" applyAlignment="1">
      <alignment horizontal="center" vertical="center" wrapText="1"/>
    </xf>
    <xf numFmtId="165" fontId="8" fillId="10" borderId="12" xfId="1" applyNumberFormat="1" applyFont="1" applyFill="1" applyBorder="1" applyAlignment="1">
      <alignment horizontal="right" vertical="center"/>
    </xf>
    <xf numFmtId="1" fontId="8" fillId="10" borderId="12" xfId="2" applyNumberFormat="1" applyFont="1" applyFill="1" applyBorder="1" applyAlignment="1">
      <alignment horizontal="right" vertical="center"/>
    </xf>
    <xf numFmtId="0" fontId="8" fillId="0" borderId="17" xfId="0" applyFont="1" applyBorder="1" applyAlignment="1">
      <alignment horizontal="left"/>
    </xf>
    <xf numFmtId="168" fontId="8" fillId="10" borderId="15" xfId="2" applyNumberFormat="1" applyFont="1" applyFill="1" applyBorder="1" applyAlignment="1">
      <alignment horizontal="right" vertical="center"/>
    </xf>
    <xf numFmtId="0" fontId="8" fillId="0" borderId="14" xfId="0" applyFont="1" applyBorder="1" applyAlignment="1">
      <alignment horizontal="left" vertical="center" wrapText="1"/>
    </xf>
    <xf numFmtId="10" fontId="8" fillId="0" borderId="12" xfId="3" applyNumberFormat="1" applyFont="1" applyBorder="1" applyAlignment="1">
      <alignment horizontal="center" vertical="center"/>
    </xf>
    <xf numFmtId="10" fontId="8" fillId="0" borderId="15" xfId="3" applyNumberFormat="1" applyFont="1" applyBorder="1" applyAlignment="1">
      <alignment horizontal="center" vertical="center"/>
    </xf>
    <xf numFmtId="14" fontId="8" fillId="0" borderId="17" xfId="2" applyNumberFormat="1" applyFont="1" applyBorder="1" applyAlignment="1">
      <alignment horizontal="center" vertical="center"/>
    </xf>
    <xf numFmtId="168" fontId="8" fillId="0" borderId="15" xfId="2" applyNumberFormat="1" applyFont="1" applyBorder="1" applyAlignment="1">
      <alignment horizontal="center" vertical="center"/>
    </xf>
    <xf numFmtId="14" fontId="8" fillId="0" borderId="14" xfId="2" applyNumberFormat="1" applyFont="1" applyBorder="1" applyAlignment="1">
      <alignment horizontal="center" vertical="center"/>
    </xf>
    <xf numFmtId="0" fontId="19" fillId="0" borderId="0" xfId="0" applyFont="1"/>
    <xf numFmtId="168" fontId="9" fillId="0" borderId="28" xfId="0" applyNumberFormat="1" applyFont="1" applyBorder="1" applyAlignment="1">
      <alignment horizontal="center"/>
    </xf>
    <xf numFmtId="168" fontId="8" fillId="10" borderId="12" xfId="3" applyNumberFormat="1" applyFont="1" applyFill="1" applyBorder="1" applyAlignment="1">
      <alignment horizontal="center" vertical="center"/>
    </xf>
    <xf numFmtId="14" fontId="8" fillId="8" borderId="12" xfId="0" applyNumberFormat="1" applyFont="1" applyFill="1" applyBorder="1" applyAlignment="1">
      <alignment horizontal="right" vertical="center"/>
    </xf>
    <xf numFmtId="0" fontId="11" fillId="0" borderId="0" xfId="0" applyFont="1" applyAlignment="1">
      <alignment horizontal="left" vertical="top"/>
    </xf>
    <xf numFmtId="0" fontId="16" fillId="0" borderId="0" xfId="0" applyFont="1" applyAlignment="1">
      <alignment horizontal="left" vertical="top"/>
    </xf>
    <xf numFmtId="0" fontId="17" fillId="15" borderId="0" xfId="0" applyFont="1" applyFill="1" applyAlignment="1">
      <alignment horizontal="left" vertical="top"/>
    </xf>
    <xf numFmtId="0" fontId="18" fillId="15" borderId="0" xfId="0" applyFont="1" applyFill="1" applyAlignment="1">
      <alignment horizontal="left" vertical="top"/>
    </xf>
    <xf numFmtId="168" fontId="8" fillId="13" borderId="12" xfId="2" applyNumberFormat="1" applyFont="1" applyFill="1" applyBorder="1" applyAlignment="1">
      <alignment horizontal="left" vertical="top"/>
    </xf>
    <xf numFmtId="165" fontId="8" fillId="13" borderId="12" xfId="1" applyNumberFormat="1" applyFont="1" applyFill="1" applyBorder="1" applyAlignment="1">
      <alignment horizontal="left" vertical="top"/>
    </xf>
    <xf numFmtId="168" fontId="8" fillId="10" borderId="12" xfId="2" applyNumberFormat="1" applyFont="1" applyFill="1" applyBorder="1" applyAlignment="1">
      <alignment horizontal="left" vertical="top"/>
    </xf>
    <xf numFmtId="14" fontId="8" fillId="13" borderId="12" xfId="2" applyNumberFormat="1" applyFont="1" applyFill="1" applyBorder="1" applyAlignment="1">
      <alignment horizontal="left" vertical="top"/>
    </xf>
    <xf numFmtId="0" fontId="8" fillId="10" borderId="12" xfId="0" applyFont="1" applyFill="1" applyBorder="1" applyAlignment="1">
      <alignment horizontal="left" vertical="top" wrapText="1"/>
    </xf>
    <xf numFmtId="0" fontId="11" fillId="0" borderId="0" xfId="0" applyFont="1" applyAlignment="1">
      <alignment horizontal="left" vertical="top" wrapText="1"/>
    </xf>
    <xf numFmtId="168" fontId="10" fillId="0" borderId="0" xfId="2" applyNumberFormat="1" applyFont="1" applyFill="1" applyBorder="1" applyAlignment="1">
      <alignment horizontal="left" vertical="top"/>
    </xf>
    <xf numFmtId="165" fontId="10" fillId="0" borderId="0" xfId="1" applyNumberFormat="1" applyFont="1" applyFill="1" applyBorder="1" applyAlignment="1">
      <alignment horizontal="left" vertical="top"/>
    </xf>
    <xf numFmtId="14" fontId="10" fillId="0" borderId="0" xfId="2" applyNumberFormat="1" applyFont="1" applyFill="1" applyBorder="1" applyAlignment="1">
      <alignment horizontal="left" vertical="top"/>
    </xf>
    <xf numFmtId="165" fontId="8" fillId="0" borderId="0" xfId="5" applyNumberFormat="1" applyFont="1" applyFill="1" applyBorder="1" applyAlignment="1">
      <alignment horizontal="left" vertical="top"/>
    </xf>
    <xf numFmtId="0" fontId="10" fillId="0" borderId="0" xfId="0" applyFont="1" applyAlignment="1">
      <alignment horizontal="left" vertical="top"/>
    </xf>
    <xf numFmtId="168" fontId="9" fillId="0" borderId="25" xfId="0" applyNumberFormat="1" applyFont="1" applyBorder="1" applyAlignment="1">
      <alignment horizontal="left" vertical="top"/>
    </xf>
    <xf numFmtId="0" fontId="9" fillId="0" borderId="0" xfId="0" applyFont="1" applyAlignment="1">
      <alignment horizontal="left" vertical="top" wrapText="1"/>
    </xf>
    <xf numFmtId="168" fontId="8" fillId="0" borderId="0" xfId="2" applyNumberFormat="1" applyFont="1" applyFill="1" applyBorder="1" applyAlignment="1">
      <alignment horizontal="left" vertical="top"/>
    </xf>
    <xf numFmtId="14" fontId="8" fillId="0" borderId="0" xfId="2" applyNumberFormat="1" applyFont="1" applyFill="1" applyBorder="1" applyAlignment="1">
      <alignment horizontal="left" vertical="top"/>
    </xf>
    <xf numFmtId="168" fontId="11" fillId="0" borderId="0" xfId="0" applyNumberFormat="1" applyFont="1" applyAlignment="1">
      <alignment horizontal="left" vertical="top"/>
    </xf>
    <xf numFmtId="0" fontId="9" fillId="5" borderId="21" xfId="0" applyFont="1" applyFill="1" applyBorder="1" applyAlignment="1">
      <alignment horizontal="left" vertical="top" wrapText="1"/>
    </xf>
    <xf numFmtId="0" fontId="9" fillId="5" borderId="20" xfId="0" applyFont="1" applyFill="1" applyBorder="1" applyAlignment="1">
      <alignment horizontal="left" vertical="top" wrapText="1"/>
    </xf>
    <xf numFmtId="0" fontId="9" fillId="5" borderId="19" xfId="0" applyFont="1" applyFill="1" applyBorder="1" applyAlignment="1">
      <alignment horizontal="left" vertical="top" wrapText="1"/>
    </xf>
    <xf numFmtId="0" fontId="9" fillId="13" borderId="18" xfId="0" applyFont="1" applyFill="1" applyBorder="1" applyAlignment="1">
      <alignment horizontal="left" vertical="top" wrapText="1"/>
    </xf>
    <xf numFmtId="14" fontId="8" fillId="13" borderId="17" xfId="2" applyNumberFormat="1" applyFont="1" applyFill="1" applyBorder="1" applyAlignment="1">
      <alignment horizontal="left" vertical="top"/>
    </xf>
    <xf numFmtId="14" fontId="8" fillId="13" borderId="17" xfId="0" applyNumberFormat="1" applyFont="1" applyFill="1" applyBorder="1" applyAlignment="1">
      <alignment horizontal="left" vertical="top" wrapText="1"/>
    </xf>
    <xf numFmtId="165" fontId="10" fillId="13" borderId="12" xfId="1" applyNumberFormat="1" applyFont="1" applyFill="1" applyBorder="1" applyAlignment="1">
      <alignment horizontal="left" vertical="top"/>
    </xf>
    <xf numFmtId="0" fontId="11" fillId="13" borderId="16" xfId="0" applyFont="1" applyFill="1" applyBorder="1" applyAlignment="1">
      <alignment horizontal="left" vertical="top" wrapText="1"/>
    </xf>
    <xf numFmtId="168" fontId="10" fillId="13" borderId="15" xfId="2" applyNumberFormat="1" applyFont="1" applyFill="1" applyBorder="1" applyAlignment="1">
      <alignment horizontal="left" vertical="top"/>
    </xf>
    <xf numFmtId="165" fontId="10" fillId="13" borderId="15" xfId="1" applyNumberFormat="1" applyFont="1" applyFill="1" applyBorder="1" applyAlignment="1">
      <alignment horizontal="left" vertical="top"/>
    </xf>
    <xf numFmtId="0" fontId="8" fillId="10" borderId="15" xfId="0" applyFont="1" applyFill="1" applyBorder="1" applyAlignment="1">
      <alignment horizontal="left" vertical="top" wrapText="1"/>
    </xf>
    <xf numFmtId="168" fontId="8" fillId="10" borderId="15" xfId="2" applyNumberFormat="1" applyFont="1" applyFill="1" applyBorder="1" applyAlignment="1">
      <alignment horizontal="left" vertical="top"/>
    </xf>
    <xf numFmtId="14" fontId="10" fillId="13" borderId="15" xfId="2" applyNumberFormat="1" applyFont="1" applyFill="1" applyBorder="1" applyAlignment="1">
      <alignment horizontal="left" vertical="top"/>
    </xf>
    <xf numFmtId="14" fontId="10" fillId="13" borderId="14" xfId="2" applyNumberFormat="1" applyFont="1" applyFill="1" applyBorder="1" applyAlignment="1">
      <alignment horizontal="left" vertical="top"/>
    </xf>
    <xf numFmtId="168" fontId="9" fillId="0" borderId="0" xfId="0" applyNumberFormat="1" applyFont="1" applyAlignment="1">
      <alignment horizontal="left" vertical="top"/>
    </xf>
    <xf numFmtId="168" fontId="10" fillId="10" borderId="12" xfId="2" applyNumberFormat="1" applyFont="1" applyFill="1" applyBorder="1" applyAlignment="1">
      <alignment horizontal="left" vertical="top"/>
    </xf>
    <xf numFmtId="168" fontId="8" fillId="0" borderId="0" xfId="0" applyNumberFormat="1" applyFont="1" applyAlignment="1">
      <alignment horizontal="left" vertical="top"/>
    </xf>
    <xf numFmtId="0" fontId="17" fillId="0" borderId="0" xfId="0" applyFont="1" applyAlignment="1">
      <alignment horizontal="left" vertical="top"/>
    </xf>
    <xf numFmtId="43" fontId="11" fillId="0" borderId="0" xfId="1" applyFont="1" applyBorder="1" applyAlignment="1">
      <alignment horizontal="left" vertical="top"/>
    </xf>
    <xf numFmtId="43" fontId="9" fillId="0" borderId="0" xfId="1" applyFont="1" applyBorder="1" applyAlignment="1">
      <alignment horizontal="left" vertical="top"/>
    </xf>
    <xf numFmtId="0" fontId="9" fillId="15" borderId="0" xfId="0" applyFont="1" applyFill="1" applyAlignment="1">
      <alignment horizontal="left" vertical="top"/>
    </xf>
    <xf numFmtId="0" fontId="11" fillId="15" borderId="0" xfId="0" applyFont="1" applyFill="1" applyAlignment="1">
      <alignment horizontal="left" vertical="top"/>
    </xf>
    <xf numFmtId="0" fontId="8" fillId="13" borderId="12" xfId="0" applyFont="1" applyFill="1" applyBorder="1" applyAlignment="1">
      <alignment horizontal="left" vertical="top" wrapText="1"/>
    </xf>
    <xf numFmtId="168" fontId="8" fillId="0" borderId="12" xfId="2" applyNumberFormat="1" applyFont="1" applyFill="1" applyBorder="1" applyAlignment="1">
      <alignment horizontal="left" vertical="top"/>
    </xf>
    <xf numFmtId="14" fontId="8" fillId="0" borderId="12" xfId="2" applyNumberFormat="1" applyFont="1" applyFill="1" applyBorder="1" applyAlignment="1">
      <alignment horizontal="left" vertical="top"/>
    </xf>
    <xf numFmtId="165" fontId="8" fillId="0" borderId="12" xfId="1" applyNumberFormat="1" applyFont="1" applyFill="1" applyBorder="1" applyAlignment="1">
      <alignment horizontal="left" vertical="top"/>
    </xf>
    <xf numFmtId="168" fontId="9" fillId="0" borderId="24" xfId="0" applyNumberFormat="1" applyFont="1" applyBorder="1" applyAlignment="1">
      <alignment horizontal="left" vertical="top"/>
    </xf>
    <xf numFmtId="165" fontId="8" fillId="0" borderId="0" xfId="1" applyNumberFormat="1" applyFont="1" applyAlignment="1">
      <alignment horizontal="left" vertical="top"/>
    </xf>
    <xf numFmtId="167" fontId="9" fillId="0" borderId="0" xfId="3" applyNumberFormat="1" applyFont="1" applyBorder="1" applyAlignment="1">
      <alignment horizontal="left" vertical="top"/>
    </xf>
    <xf numFmtId="165" fontId="8" fillId="0" borderId="0" xfId="0" applyNumberFormat="1" applyFont="1" applyAlignment="1">
      <alignment horizontal="left" vertical="top"/>
    </xf>
    <xf numFmtId="0" fontId="9" fillId="5" borderId="29" xfId="0" applyFont="1" applyFill="1" applyBorder="1" applyAlignment="1">
      <alignment horizontal="left" vertical="top" wrapText="1"/>
    </xf>
    <xf numFmtId="0" fontId="20" fillId="0" borderId="0" xfId="0" applyFont="1" applyAlignment="1">
      <alignment horizontal="left" vertical="top"/>
    </xf>
    <xf numFmtId="14" fontId="20" fillId="0" borderId="0" xfId="0" applyNumberFormat="1" applyFont="1" applyAlignment="1">
      <alignment horizontal="left" vertical="top"/>
    </xf>
    <xf numFmtId="14" fontId="21" fillId="0" borderId="0" xfId="0" applyNumberFormat="1" applyFont="1" applyAlignment="1">
      <alignment horizontal="left" vertical="top"/>
    </xf>
    <xf numFmtId="165" fontId="20" fillId="0" borderId="0" xfId="0" applyNumberFormat="1" applyFont="1" applyAlignment="1">
      <alignment horizontal="left" vertical="top"/>
    </xf>
    <xf numFmtId="0" fontId="9" fillId="13" borderId="16" xfId="0" applyFont="1" applyFill="1" applyBorder="1" applyAlignment="1">
      <alignment horizontal="left" vertical="top" wrapText="1"/>
    </xf>
    <xf numFmtId="168" fontId="8" fillId="13" borderId="15" xfId="2" applyNumberFormat="1" applyFont="1" applyFill="1" applyBorder="1" applyAlignment="1">
      <alignment horizontal="left" vertical="top"/>
    </xf>
    <xf numFmtId="165" fontId="8" fillId="13" borderId="15" xfId="1" applyNumberFormat="1" applyFont="1" applyFill="1" applyBorder="1" applyAlignment="1">
      <alignment horizontal="left" vertical="top"/>
    </xf>
    <xf numFmtId="14" fontId="8" fillId="13" borderId="15" xfId="2" applyNumberFormat="1" applyFont="1" applyFill="1" applyBorder="1" applyAlignment="1">
      <alignment horizontal="left" vertical="top"/>
    </xf>
    <xf numFmtId="14" fontId="8" fillId="13" borderId="14" xfId="2" applyNumberFormat="1" applyFont="1" applyFill="1" applyBorder="1" applyAlignment="1">
      <alignment horizontal="left" vertical="top"/>
    </xf>
    <xf numFmtId="168" fontId="10" fillId="13" borderId="12" xfId="2" applyNumberFormat="1" applyFont="1" applyFill="1" applyBorder="1" applyAlignment="1">
      <alignment horizontal="left" vertical="top"/>
    </xf>
    <xf numFmtId="14" fontId="10" fillId="13" borderId="12" xfId="2" applyNumberFormat="1" applyFont="1" applyFill="1" applyBorder="1" applyAlignment="1">
      <alignment horizontal="left" vertical="top"/>
    </xf>
    <xf numFmtId="14" fontId="8" fillId="0" borderId="17" xfId="0" applyNumberFormat="1" applyFont="1" applyBorder="1" applyAlignment="1">
      <alignment horizontal="left" vertical="top"/>
    </xf>
    <xf numFmtId="0" fontId="11" fillId="13" borderId="18" xfId="0" applyFont="1" applyFill="1" applyBorder="1" applyAlignment="1">
      <alignment horizontal="left" vertical="top" wrapText="1"/>
    </xf>
    <xf numFmtId="14" fontId="8" fillId="0" borderId="14" xfId="0" applyNumberFormat="1" applyFont="1" applyBorder="1" applyAlignment="1">
      <alignment horizontal="left" vertical="top"/>
    </xf>
    <xf numFmtId="0" fontId="9" fillId="0" borderId="16" xfId="0" applyFont="1" applyBorder="1" applyAlignment="1">
      <alignment horizontal="left" vertical="top" wrapText="1"/>
    </xf>
    <xf numFmtId="168" fontId="8" fillId="0" borderId="15" xfId="2" applyNumberFormat="1" applyFont="1" applyFill="1" applyBorder="1" applyAlignment="1">
      <alignment horizontal="left" vertical="top"/>
    </xf>
    <xf numFmtId="0" fontId="8" fillId="0" borderId="15" xfId="0" applyFont="1" applyBorder="1" applyAlignment="1">
      <alignment horizontal="left" vertical="top" wrapText="1"/>
    </xf>
    <xf numFmtId="14" fontId="8" fillId="0" borderId="15" xfId="2" applyNumberFormat="1" applyFont="1" applyFill="1" applyBorder="1" applyAlignment="1">
      <alignment horizontal="left" vertical="top"/>
    </xf>
    <xf numFmtId="14" fontId="8" fillId="0" borderId="14" xfId="0" applyNumberFormat="1" applyFont="1" applyBorder="1" applyAlignment="1">
      <alignment horizontal="left" vertical="top" wrapText="1"/>
    </xf>
    <xf numFmtId="14" fontId="9" fillId="5" borderId="21" xfId="0" applyNumberFormat="1" applyFont="1" applyFill="1" applyBorder="1" applyAlignment="1">
      <alignment horizontal="left" vertical="top"/>
    </xf>
    <xf numFmtId="14" fontId="9" fillId="5" borderId="20" xfId="0" applyNumberFormat="1" applyFont="1" applyFill="1" applyBorder="1" applyAlignment="1">
      <alignment horizontal="left" vertical="top"/>
    </xf>
    <xf numFmtId="14" fontId="9" fillId="5" borderId="19" xfId="0" applyNumberFormat="1" applyFont="1" applyFill="1" applyBorder="1" applyAlignment="1">
      <alignment horizontal="left" vertical="top"/>
    </xf>
    <xf numFmtId="165" fontId="8" fillId="13" borderId="18" xfId="1" applyNumberFormat="1" applyFont="1" applyFill="1" applyBorder="1" applyAlignment="1">
      <alignment horizontal="left" vertical="top"/>
    </xf>
    <xf numFmtId="165" fontId="8" fillId="13" borderId="17" xfId="1" applyNumberFormat="1" applyFont="1" applyFill="1" applyBorder="1" applyAlignment="1">
      <alignment horizontal="left" vertical="top"/>
    </xf>
    <xf numFmtId="165" fontId="8" fillId="13" borderId="16" xfId="1" applyNumberFormat="1" applyFont="1" applyFill="1" applyBorder="1" applyAlignment="1">
      <alignment horizontal="left" vertical="top"/>
    </xf>
    <xf numFmtId="165" fontId="8" fillId="13" borderId="14" xfId="1" applyNumberFormat="1" applyFont="1" applyFill="1" applyBorder="1" applyAlignment="1">
      <alignment horizontal="left" vertical="top"/>
    </xf>
    <xf numFmtId="165" fontId="10" fillId="13" borderId="18" xfId="1" applyNumberFormat="1" applyFont="1" applyFill="1" applyBorder="1" applyAlignment="1">
      <alignment horizontal="left" vertical="top"/>
    </xf>
    <xf numFmtId="165" fontId="10" fillId="13" borderId="17" xfId="1" applyNumberFormat="1" applyFont="1" applyFill="1" applyBorder="1" applyAlignment="1">
      <alignment horizontal="left" vertical="top"/>
    </xf>
    <xf numFmtId="165" fontId="10" fillId="13" borderId="16" xfId="1" applyNumberFormat="1" applyFont="1" applyFill="1" applyBorder="1" applyAlignment="1">
      <alignment horizontal="left" vertical="top"/>
    </xf>
    <xf numFmtId="165" fontId="10" fillId="13" borderId="14" xfId="1" applyNumberFormat="1" applyFont="1" applyFill="1" applyBorder="1" applyAlignment="1">
      <alignment horizontal="left" vertical="top"/>
    </xf>
    <xf numFmtId="0" fontId="9" fillId="5" borderId="30" xfId="0" applyFont="1" applyFill="1" applyBorder="1" applyAlignment="1">
      <alignment horizontal="left" vertical="top" wrapText="1"/>
    </xf>
    <xf numFmtId="168" fontId="8" fillId="10" borderId="31" xfId="2" applyNumberFormat="1" applyFont="1" applyFill="1" applyBorder="1" applyAlignment="1">
      <alignment horizontal="left" vertical="top"/>
    </xf>
    <xf numFmtId="0" fontId="9" fillId="5" borderId="27" xfId="0" applyFont="1" applyFill="1" applyBorder="1" applyAlignment="1">
      <alignment horizontal="left" vertical="top" wrapText="1"/>
    </xf>
    <xf numFmtId="165" fontId="8" fillId="0" borderId="16" xfId="1" applyNumberFormat="1" applyFont="1" applyFill="1" applyBorder="1" applyAlignment="1">
      <alignment horizontal="left" vertical="top"/>
    </xf>
    <xf numFmtId="165" fontId="8" fillId="0" borderId="15" xfId="1" applyNumberFormat="1" applyFont="1" applyFill="1" applyBorder="1" applyAlignment="1">
      <alignment horizontal="left" vertical="top"/>
    </xf>
    <xf numFmtId="165" fontId="8" fillId="0" borderId="14" xfId="1" applyNumberFormat="1" applyFont="1" applyFill="1" applyBorder="1" applyAlignment="1">
      <alignment horizontal="left" vertical="top"/>
    </xf>
    <xf numFmtId="168" fontId="8" fillId="10" borderId="12" xfId="2" applyNumberFormat="1" applyFont="1" applyFill="1" applyBorder="1" applyAlignment="1">
      <alignment horizontal="left" vertical="top" wrapText="1"/>
    </xf>
    <xf numFmtId="168" fontId="8" fillId="10" borderId="15" xfId="2" applyNumberFormat="1" applyFont="1" applyFill="1" applyBorder="1" applyAlignment="1">
      <alignment horizontal="left" vertical="top" wrapText="1"/>
    </xf>
    <xf numFmtId="165" fontId="8" fillId="10" borderId="12" xfId="1" applyNumberFormat="1" applyFont="1" applyFill="1" applyBorder="1" applyAlignment="1">
      <alignment horizontal="center" vertical="center"/>
    </xf>
    <xf numFmtId="168" fontId="10" fillId="10" borderId="12" xfId="2" applyNumberFormat="1" applyFont="1" applyFill="1" applyBorder="1" applyAlignment="1">
      <alignment horizontal="center" vertical="center"/>
    </xf>
    <xf numFmtId="165" fontId="8" fillId="10" borderId="15" xfId="1" applyNumberFormat="1" applyFont="1" applyFill="1" applyBorder="1" applyAlignment="1">
      <alignment horizontal="center" vertical="center" wrapText="1"/>
    </xf>
    <xf numFmtId="0" fontId="9" fillId="0" borderId="18" xfId="0" applyFont="1" applyBorder="1" applyAlignment="1">
      <alignment horizontal="left" vertical="top" wrapText="1"/>
    </xf>
    <xf numFmtId="165" fontId="8" fillId="0" borderId="12" xfId="1" applyNumberFormat="1" applyFont="1" applyFill="1" applyBorder="1" applyAlignment="1">
      <alignment horizontal="left" vertical="top" wrapText="1"/>
    </xf>
    <xf numFmtId="14" fontId="8" fillId="0" borderId="17" xfId="2" applyNumberFormat="1" applyFont="1" applyFill="1" applyBorder="1" applyAlignment="1">
      <alignment horizontal="left" vertical="top"/>
    </xf>
    <xf numFmtId="14" fontId="8" fillId="0" borderId="17" xfId="0" applyNumberFormat="1" applyFont="1" applyBorder="1" applyAlignment="1">
      <alignment horizontal="left" vertical="top" wrapText="1"/>
    </xf>
    <xf numFmtId="14" fontId="8" fillId="0" borderId="14" xfId="2" applyNumberFormat="1" applyFont="1" applyFill="1" applyBorder="1" applyAlignment="1">
      <alignment horizontal="left" vertical="top"/>
    </xf>
    <xf numFmtId="165" fontId="10" fillId="0" borderId="12" xfId="1" applyNumberFormat="1" applyFont="1" applyFill="1" applyBorder="1" applyAlignment="1">
      <alignment horizontal="left" vertical="top"/>
    </xf>
    <xf numFmtId="0" fontId="11" fillId="0" borderId="16" xfId="0" applyFont="1" applyBorder="1" applyAlignment="1">
      <alignment horizontal="left" vertical="top" wrapText="1"/>
    </xf>
    <xf numFmtId="168" fontId="10" fillId="0" borderId="15" xfId="2" applyNumberFormat="1" applyFont="1" applyFill="1" applyBorder="1" applyAlignment="1">
      <alignment horizontal="left" vertical="top"/>
    </xf>
    <xf numFmtId="165" fontId="10" fillId="0" borderId="15" xfId="1" applyNumberFormat="1" applyFont="1" applyFill="1" applyBorder="1" applyAlignment="1">
      <alignment horizontal="left" vertical="top"/>
    </xf>
    <xf numFmtId="14" fontId="10" fillId="0" borderId="15" xfId="2" applyNumberFormat="1" applyFont="1" applyFill="1" applyBorder="1" applyAlignment="1">
      <alignment horizontal="left" vertical="top"/>
    </xf>
    <xf numFmtId="0" fontId="9" fillId="10" borderId="18" xfId="0" applyFont="1" applyFill="1" applyBorder="1" applyAlignment="1">
      <alignment horizontal="left" vertical="top" wrapText="1"/>
    </xf>
    <xf numFmtId="0" fontId="11" fillId="10" borderId="18" xfId="0" applyFont="1" applyFill="1" applyBorder="1" applyAlignment="1">
      <alignment horizontal="left" vertical="top" wrapText="1"/>
    </xf>
    <xf numFmtId="0" fontId="9" fillId="10" borderId="16" xfId="0" applyFont="1" applyFill="1" applyBorder="1" applyAlignment="1">
      <alignment horizontal="left" vertical="top" wrapText="1"/>
    </xf>
    <xf numFmtId="14" fontId="8" fillId="10" borderId="12" xfId="0" applyNumberFormat="1" applyFont="1" applyFill="1" applyBorder="1" applyAlignment="1">
      <alignment horizontal="left" vertical="top"/>
    </xf>
    <xf numFmtId="14" fontId="8" fillId="10" borderId="15" xfId="0" applyNumberFormat="1" applyFont="1" applyFill="1" applyBorder="1" applyAlignment="1">
      <alignment horizontal="left" vertical="top"/>
    </xf>
    <xf numFmtId="168" fontId="8" fillId="0" borderId="28" xfId="0" applyNumberFormat="1" applyFont="1" applyBorder="1" applyAlignment="1">
      <alignment horizontal="left" vertical="top"/>
    </xf>
    <xf numFmtId="168" fontId="9" fillId="0" borderId="28" xfId="0" applyNumberFormat="1" applyFont="1" applyBorder="1" applyAlignment="1">
      <alignment horizontal="left" vertical="top"/>
    </xf>
    <xf numFmtId="14" fontId="10" fillId="13" borderId="17" xfId="2" applyNumberFormat="1" applyFont="1" applyFill="1" applyBorder="1" applyAlignment="1">
      <alignment horizontal="left" vertical="top"/>
    </xf>
    <xf numFmtId="168" fontId="10" fillId="10" borderId="15" xfId="2" applyNumberFormat="1" applyFont="1" applyFill="1" applyBorder="1" applyAlignment="1">
      <alignment horizontal="left" vertical="top"/>
    </xf>
    <xf numFmtId="0" fontId="18" fillId="15" borderId="32" xfId="0" applyFont="1" applyFill="1" applyBorder="1" applyAlignment="1">
      <alignment horizontal="left" vertical="top"/>
    </xf>
    <xf numFmtId="0" fontId="18" fillId="15" borderId="33" xfId="0" applyFont="1" applyFill="1" applyBorder="1" applyAlignment="1">
      <alignment horizontal="left" vertical="top"/>
    </xf>
    <xf numFmtId="0" fontId="18" fillId="15" borderId="34" xfId="0" applyFont="1" applyFill="1" applyBorder="1" applyAlignment="1">
      <alignment horizontal="left" vertical="top"/>
    </xf>
    <xf numFmtId="165" fontId="19" fillId="0" borderId="0" xfId="0" applyNumberFormat="1" applyFont="1" applyAlignment="1">
      <alignment horizontal="left" vertical="top"/>
    </xf>
    <xf numFmtId="0" fontId="19" fillId="0" borderId="0" xfId="0" applyFont="1" applyAlignment="1">
      <alignment horizontal="left" vertical="top"/>
    </xf>
    <xf numFmtId="0" fontId="22" fillId="0" borderId="0" xfId="0" applyFont="1" applyAlignment="1">
      <alignment horizontal="left" vertical="top"/>
    </xf>
    <xf numFmtId="14" fontId="19" fillId="0" borderId="0" xfId="1" applyNumberFormat="1" applyFont="1" applyAlignment="1">
      <alignment horizontal="left" vertical="top"/>
    </xf>
    <xf numFmtId="165" fontId="8" fillId="8" borderId="12" xfId="1" applyNumberFormat="1" applyFont="1" applyFill="1" applyBorder="1" applyAlignment="1">
      <alignment horizontal="left" vertical="top"/>
    </xf>
    <xf numFmtId="0" fontId="8" fillId="8" borderId="0" xfId="0" applyFont="1" applyFill="1"/>
    <xf numFmtId="10" fontId="8" fillId="13" borderId="12" xfId="3" applyNumberFormat="1" applyFont="1" applyFill="1" applyBorder="1" applyAlignment="1">
      <alignment horizontal="left" vertical="top"/>
    </xf>
    <xf numFmtId="165" fontId="8" fillId="0" borderId="28" xfId="1" applyNumberFormat="1" applyFont="1" applyBorder="1" applyAlignment="1">
      <alignment horizontal="left" vertical="top"/>
    </xf>
    <xf numFmtId="14" fontId="9" fillId="0" borderId="0" xfId="0" applyNumberFormat="1" applyFont="1" applyAlignment="1">
      <alignment horizontal="left" vertical="top" wrapText="1"/>
    </xf>
    <xf numFmtId="0" fontId="24" fillId="0" borderId="0" xfId="0" applyFont="1"/>
    <xf numFmtId="0" fontId="25" fillId="0" borderId="0" xfId="0" applyFont="1"/>
    <xf numFmtId="14" fontId="26" fillId="0" borderId="0" xfId="2" applyNumberFormat="1" applyFont="1"/>
    <xf numFmtId="0" fontId="27" fillId="0" borderId="0" xfId="0" applyFont="1"/>
    <xf numFmtId="0" fontId="27" fillId="0" borderId="0" xfId="0" applyFont="1" applyAlignment="1">
      <alignment horizontal="left" wrapText="1"/>
    </xf>
    <xf numFmtId="166" fontId="9" fillId="0" borderId="28" xfId="2" applyNumberFormat="1" applyFont="1" applyBorder="1"/>
    <xf numFmtId="44" fontId="9" fillId="0" borderId="28" xfId="2" applyFont="1" applyBorder="1"/>
    <xf numFmtId="165" fontId="28" fillId="3" borderId="0" xfId="5" applyNumberFormat="1" applyFont="1"/>
    <xf numFmtId="0" fontId="28" fillId="0" borderId="0" xfId="0" applyFont="1"/>
    <xf numFmtId="165" fontId="28" fillId="0" borderId="0" xfId="1" applyNumberFormat="1" applyFont="1"/>
    <xf numFmtId="0" fontId="23" fillId="0" borderId="0" xfId="0" applyFont="1"/>
    <xf numFmtId="0" fontId="7" fillId="0" borderId="0" xfId="0" applyFont="1"/>
    <xf numFmtId="14" fontId="7" fillId="0" borderId="0" xfId="1" applyNumberFormat="1" applyFont="1"/>
    <xf numFmtId="14" fontId="7" fillId="0" borderId="0" xfId="0" applyNumberFormat="1" applyFont="1"/>
    <xf numFmtId="165" fontId="7" fillId="0" borderId="0" xfId="1" applyNumberFormat="1" applyFont="1"/>
    <xf numFmtId="165" fontId="28" fillId="0" borderId="0" xfId="0" applyNumberFormat="1" applyFont="1"/>
    <xf numFmtId="165" fontId="28" fillId="7" borderId="0" xfId="1" applyNumberFormat="1" applyFont="1" applyFill="1"/>
    <xf numFmtId="165" fontId="7" fillId="0" borderId="0" xfId="0" applyNumberFormat="1" applyFont="1"/>
    <xf numFmtId="165" fontId="28" fillId="0" borderId="0" xfId="1" applyNumberFormat="1" applyFont="1" applyFill="1"/>
    <xf numFmtId="165" fontId="23" fillId="0" borderId="0" xfId="1" applyNumberFormat="1" applyFont="1"/>
    <xf numFmtId="10" fontId="8" fillId="0" borderId="0" xfId="3" applyNumberFormat="1" applyFont="1" applyBorder="1"/>
    <xf numFmtId="165" fontId="19" fillId="0" borderId="0" xfId="1" applyNumberFormat="1" applyFont="1" applyAlignment="1">
      <alignment horizontal="left" vertical="top"/>
    </xf>
    <xf numFmtId="0" fontId="29" fillId="0" borderId="0" xfId="0" applyFont="1" applyAlignment="1">
      <alignment horizontal="left" vertical="top"/>
    </xf>
    <xf numFmtId="168" fontId="29" fillId="0" borderId="0" xfId="0" applyNumberFormat="1" applyFont="1" applyAlignment="1">
      <alignment horizontal="left" vertical="top"/>
    </xf>
    <xf numFmtId="168" fontId="9" fillId="0" borderId="0" xfId="2" applyNumberFormat="1" applyFont="1" applyFill="1" applyBorder="1" applyAlignment="1">
      <alignment horizontal="left" vertical="top"/>
    </xf>
    <xf numFmtId="14" fontId="9" fillId="0" borderId="0" xfId="2" applyNumberFormat="1" applyFont="1" applyFill="1" applyBorder="1" applyAlignment="1">
      <alignment horizontal="left" vertical="top"/>
    </xf>
    <xf numFmtId="0" fontId="9" fillId="0" borderId="0" xfId="0" applyFont="1" applyAlignment="1">
      <alignment horizontal="right" vertical="top"/>
    </xf>
    <xf numFmtId="168" fontId="9" fillId="0" borderId="0" xfId="2" applyNumberFormat="1" applyFont="1" applyFill="1" applyBorder="1" applyAlignment="1">
      <alignment horizontal="right" vertical="top"/>
    </xf>
    <xf numFmtId="0" fontId="31" fillId="0" borderId="0" xfId="0" applyFont="1"/>
    <xf numFmtId="165" fontId="9" fillId="0" borderId="28" xfId="1" applyNumberFormat="1" applyFont="1" applyBorder="1"/>
    <xf numFmtId="165" fontId="9" fillId="0" borderId="0" xfId="1" applyNumberFormat="1" applyFont="1" applyBorder="1"/>
    <xf numFmtId="165" fontId="9" fillId="8" borderId="24" xfId="1" applyNumberFormat="1" applyFont="1" applyFill="1" applyBorder="1"/>
    <xf numFmtId="165" fontId="8" fillId="0" borderId="0" xfId="1" applyNumberFormat="1" applyFont="1" applyBorder="1"/>
    <xf numFmtId="166" fontId="9" fillId="0" borderId="0" xfId="0" applyNumberFormat="1" applyFont="1"/>
    <xf numFmtId="165" fontId="9" fillId="8" borderId="0" xfId="1" applyNumberFormat="1" applyFont="1" applyFill="1" applyBorder="1"/>
    <xf numFmtId="44" fontId="32" fillId="3" borderId="0" xfId="5" applyNumberFormat="1" applyFont="1"/>
    <xf numFmtId="165" fontId="8" fillId="0" borderId="0" xfId="0" applyNumberFormat="1" applyFont="1"/>
    <xf numFmtId="14" fontId="9" fillId="13" borderId="0" xfId="0" applyNumberFormat="1" applyFont="1" applyFill="1"/>
    <xf numFmtId="165" fontId="29" fillId="0" borderId="28" xfId="1" applyNumberFormat="1" applyFont="1" applyBorder="1"/>
    <xf numFmtId="10" fontId="9" fillId="0" borderId="0" xfId="3" applyNumberFormat="1" applyFont="1" applyAlignment="1">
      <alignment horizontal="center" vertical="center"/>
    </xf>
    <xf numFmtId="43" fontId="9" fillId="0" borderId="0" xfId="1" applyFont="1" applyAlignment="1">
      <alignment horizontal="center" vertical="center"/>
    </xf>
    <xf numFmtId="0" fontId="8" fillId="0" borderId="0" xfId="0" applyFont="1" applyAlignment="1">
      <alignment horizontal="center" vertical="center"/>
    </xf>
    <xf numFmtId="43" fontId="8" fillId="0" borderId="0" xfId="0" applyNumberFormat="1" applyFont="1" applyAlignment="1">
      <alignment horizontal="center" vertical="center"/>
    </xf>
    <xf numFmtId="0" fontId="9" fillId="0" borderId="26" xfId="0" applyFont="1" applyBorder="1" applyAlignment="1">
      <alignment horizontal="center" vertical="center"/>
    </xf>
    <xf numFmtId="0" fontId="8" fillId="0" borderId="37" xfId="0" applyFont="1" applyBorder="1"/>
    <xf numFmtId="0" fontId="9" fillId="0" borderId="38" xfId="0" applyFont="1" applyBorder="1"/>
    <xf numFmtId="0" fontId="8" fillId="0" borderId="38" xfId="0" applyFont="1" applyBorder="1"/>
    <xf numFmtId="0" fontId="8" fillId="0" borderId="39" xfId="0" applyFont="1" applyBorder="1"/>
    <xf numFmtId="0" fontId="8" fillId="0" borderId="40" xfId="0" applyFont="1" applyBorder="1"/>
    <xf numFmtId="0" fontId="8" fillId="0" borderId="41" xfId="0" applyFont="1" applyBorder="1"/>
    <xf numFmtId="0" fontId="9" fillId="0" borderId="40" xfId="0" applyFont="1" applyBorder="1"/>
    <xf numFmtId="0" fontId="9" fillId="0" borderId="41" xfId="0" applyFont="1" applyBorder="1"/>
    <xf numFmtId="0" fontId="8" fillId="0" borderId="42" xfId="0" applyFont="1" applyBorder="1"/>
    <xf numFmtId="0" fontId="9" fillId="0" borderId="43" xfId="0" applyFont="1" applyBorder="1"/>
    <xf numFmtId="0" fontId="8" fillId="0" borderId="43" xfId="0" applyFont="1" applyBorder="1"/>
    <xf numFmtId="0" fontId="8" fillId="0" borderId="44" xfId="0" applyFont="1" applyBorder="1"/>
    <xf numFmtId="0" fontId="9" fillId="0" borderId="45" xfId="0" applyFont="1" applyBorder="1"/>
    <xf numFmtId="0" fontId="8" fillId="16" borderId="45" xfId="0" applyFont="1" applyFill="1" applyBorder="1"/>
    <xf numFmtId="0" fontId="9" fillId="16" borderId="45" xfId="0" applyFont="1" applyFill="1" applyBorder="1"/>
    <xf numFmtId="0" fontId="33" fillId="0" borderId="0" xfId="0" applyFont="1"/>
    <xf numFmtId="0" fontId="34" fillId="0" borderId="0" xfId="0" applyFont="1"/>
    <xf numFmtId="0" fontId="35" fillId="0" borderId="0" xfId="0" applyFont="1"/>
    <xf numFmtId="0" fontId="36" fillId="0" borderId="0" xfId="0" applyFont="1"/>
    <xf numFmtId="0" fontId="37" fillId="7" borderId="0" xfId="0" applyFont="1" applyFill="1"/>
    <xf numFmtId="0" fontId="8" fillId="7" borderId="0" xfId="0" applyFont="1" applyFill="1"/>
    <xf numFmtId="0" fontId="9" fillId="7" borderId="0" xfId="0" applyFont="1" applyFill="1"/>
    <xf numFmtId="0" fontId="9" fillId="14" borderId="45" xfId="0" applyFont="1" applyFill="1" applyBorder="1"/>
    <xf numFmtId="0" fontId="8" fillId="14" borderId="45" xfId="0" applyFont="1" applyFill="1" applyBorder="1"/>
    <xf numFmtId="0" fontId="9" fillId="10" borderId="45" xfId="0" applyFont="1" applyFill="1" applyBorder="1"/>
    <xf numFmtId="0" fontId="8" fillId="10" borderId="45" xfId="0" applyFont="1" applyFill="1" applyBorder="1"/>
    <xf numFmtId="0" fontId="9" fillId="17" borderId="45" xfId="0" applyFont="1" applyFill="1" applyBorder="1"/>
    <xf numFmtId="0" fontId="8" fillId="17" borderId="45" xfId="0" applyFont="1" applyFill="1" applyBorder="1"/>
    <xf numFmtId="0" fontId="9" fillId="5" borderId="45" xfId="0" applyFont="1" applyFill="1" applyBorder="1"/>
    <xf numFmtId="0" fontId="8" fillId="5" borderId="45" xfId="0" applyFont="1" applyFill="1" applyBorder="1"/>
    <xf numFmtId="14" fontId="0" fillId="0" borderId="0" xfId="1" applyNumberFormat="1" applyFont="1"/>
    <xf numFmtId="165" fontId="5" fillId="0" borderId="0" xfId="1" applyNumberFormat="1" applyFont="1"/>
    <xf numFmtId="14" fontId="0" fillId="8" borderId="0" xfId="1" applyNumberFormat="1" applyFont="1" applyFill="1"/>
    <xf numFmtId="14" fontId="38" fillId="0" borderId="0" xfId="0" applyNumberFormat="1" applyFont="1"/>
    <xf numFmtId="165" fontId="23" fillId="8" borderId="0" xfId="1" applyNumberFormat="1" applyFont="1" applyFill="1"/>
    <xf numFmtId="0" fontId="5" fillId="0" borderId="0" xfId="0" applyFont="1" applyAlignment="1">
      <alignment horizontal="center" wrapText="1"/>
    </xf>
    <xf numFmtId="168" fontId="11" fillId="8" borderId="0" xfId="0" applyNumberFormat="1" applyFont="1" applyFill="1" applyAlignment="1">
      <alignment horizontal="left" vertical="top"/>
    </xf>
    <xf numFmtId="0" fontId="5" fillId="16" borderId="0" xfId="0" applyFont="1" applyFill="1" applyAlignment="1">
      <alignment horizontal="center" wrapText="1"/>
    </xf>
    <xf numFmtId="14" fontId="8" fillId="0" borderId="0" xfId="2" applyNumberFormat="1" applyFont="1" applyBorder="1" applyAlignment="1">
      <alignment horizontal="center" vertical="center"/>
    </xf>
    <xf numFmtId="14" fontId="10" fillId="8" borderId="14" xfId="2" applyNumberFormat="1" applyFont="1" applyFill="1" applyBorder="1" applyAlignment="1">
      <alignment horizontal="left" vertical="top"/>
    </xf>
    <xf numFmtId="14" fontId="8" fillId="8" borderId="17" xfId="0" applyNumberFormat="1" applyFont="1" applyFill="1" applyBorder="1" applyAlignment="1">
      <alignment horizontal="left" vertical="top" wrapText="1"/>
    </xf>
    <xf numFmtId="14" fontId="9" fillId="5" borderId="46" xfId="0" applyNumberFormat="1" applyFont="1" applyFill="1" applyBorder="1" applyAlignment="1">
      <alignment horizontal="left" vertical="top"/>
    </xf>
    <xf numFmtId="14" fontId="9" fillId="5" borderId="47" xfId="0" applyNumberFormat="1" applyFont="1" applyFill="1" applyBorder="1" applyAlignment="1">
      <alignment horizontal="left" vertical="top"/>
    </xf>
    <xf numFmtId="14" fontId="9" fillId="5" borderId="48" xfId="0" applyNumberFormat="1" applyFont="1" applyFill="1" applyBorder="1" applyAlignment="1">
      <alignment horizontal="left" vertical="top"/>
    </xf>
    <xf numFmtId="165" fontId="8" fillId="13" borderId="49" xfId="1" applyNumberFormat="1" applyFont="1" applyFill="1" applyBorder="1" applyAlignment="1">
      <alignment horizontal="left" vertical="top"/>
    </xf>
    <xf numFmtId="165" fontId="8" fillId="13" borderId="50" xfId="1" applyNumberFormat="1" applyFont="1" applyFill="1" applyBorder="1" applyAlignment="1">
      <alignment horizontal="left" vertical="top"/>
    </xf>
    <xf numFmtId="165" fontId="10" fillId="13" borderId="49" xfId="1" applyNumberFormat="1" applyFont="1" applyFill="1" applyBorder="1" applyAlignment="1">
      <alignment horizontal="left" vertical="top"/>
    </xf>
    <xf numFmtId="165" fontId="10" fillId="13" borderId="50" xfId="1" applyNumberFormat="1" applyFont="1" applyFill="1" applyBorder="1" applyAlignment="1">
      <alignment horizontal="left" vertical="top"/>
    </xf>
    <xf numFmtId="165" fontId="10" fillId="13" borderId="51" xfId="1" applyNumberFormat="1" applyFont="1" applyFill="1" applyBorder="1" applyAlignment="1">
      <alignment horizontal="left" vertical="top"/>
    </xf>
    <xf numFmtId="165" fontId="10" fillId="13" borderId="52" xfId="1" applyNumberFormat="1" applyFont="1" applyFill="1" applyBorder="1" applyAlignment="1">
      <alignment horizontal="left" vertical="top"/>
    </xf>
    <xf numFmtId="165" fontId="10" fillId="13" borderId="53" xfId="1" applyNumberFormat="1" applyFont="1" applyFill="1" applyBorder="1" applyAlignment="1">
      <alignment horizontal="left" vertical="top"/>
    </xf>
    <xf numFmtId="14" fontId="34" fillId="0" borderId="0" xfId="0" applyNumberFormat="1" applyFont="1"/>
    <xf numFmtId="167" fontId="0" fillId="0" borderId="0" xfId="3" applyNumberFormat="1" applyFont="1"/>
    <xf numFmtId="165" fontId="0" fillId="0" borderId="45" xfId="1" applyNumberFormat="1" applyFont="1" applyBorder="1"/>
    <xf numFmtId="165" fontId="0" fillId="0" borderId="58" xfId="1" applyNumberFormat="1" applyFont="1" applyBorder="1"/>
    <xf numFmtId="165" fontId="0" fillId="0" borderId="60" xfId="1" applyNumberFormat="1" applyFont="1" applyBorder="1"/>
    <xf numFmtId="165" fontId="0" fillId="0" borderId="61" xfId="1" applyNumberFormat="1" applyFont="1" applyBorder="1"/>
    <xf numFmtId="0" fontId="5" fillId="5" borderId="54" xfId="0" applyFont="1" applyFill="1" applyBorder="1"/>
    <xf numFmtId="0" fontId="5" fillId="5" borderId="55" xfId="0" applyFont="1" applyFill="1" applyBorder="1"/>
    <xf numFmtId="165" fontId="5" fillId="5" borderId="55" xfId="1" applyNumberFormat="1" applyFont="1" applyFill="1" applyBorder="1"/>
    <xf numFmtId="0" fontId="5" fillId="5" borderId="56" xfId="0" applyFont="1" applyFill="1" applyBorder="1"/>
    <xf numFmtId="165" fontId="0" fillId="5" borderId="45" xfId="1" applyNumberFormat="1" applyFont="1" applyFill="1" applyBorder="1"/>
    <xf numFmtId="165" fontId="0" fillId="5" borderId="58" xfId="1" applyNumberFormat="1" applyFont="1" applyFill="1" applyBorder="1"/>
    <xf numFmtId="165" fontId="0" fillId="5" borderId="60" xfId="1" applyNumberFormat="1" applyFont="1" applyFill="1" applyBorder="1"/>
    <xf numFmtId="165" fontId="0" fillId="5" borderId="61" xfId="1" applyNumberFormat="1" applyFont="1" applyFill="1" applyBorder="1"/>
    <xf numFmtId="10" fontId="0" fillId="0" borderId="58" xfId="3" applyNumberFormat="1" applyFont="1" applyBorder="1"/>
    <xf numFmtId="10" fontId="0" fillId="0" borderId="61" xfId="3" applyNumberFormat="1" applyFont="1" applyBorder="1"/>
    <xf numFmtId="14" fontId="5" fillId="5" borderId="54" xfId="1" applyNumberFormat="1" applyFont="1" applyFill="1" applyBorder="1"/>
    <xf numFmtId="14" fontId="5" fillId="5" borderId="55" xfId="1" applyNumberFormat="1" applyFont="1" applyFill="1" applyBorder="1"/>
    <xf numFmtId="14" fontId="5" fillId="5" borderId="56" xfId="1" applyNumberFormat="1" applyFont="1" applyFill="1" applyBorder="1"/>
    <xf numFmtId="166" fontId="0" fillId="0" borderId="60" xfId="2" applyNumberFormat="1" applyFont="1" applyBorder="1"/>
    <xf numFmtId="166" fontId="0" fillId="0" borderId="61" xfId="2" applyNumberFormat="1" applyFont="1" applyBorder="1"/>
    <xf numFmtId="165" fontId="34" fillId="0" borderId="0" xfId="0" applyNumberFormat="1" applyFont="1"/>
    <xf numFmtId="14" fontId="5" fillId="5" borderId="0" xfId="0" applyNumberFormat="1" applyFont="1" applyFill="1"/>
    <xf numFmtId="0" fontId="5" fillId="5" borderId="0" xfId="0" applyFont="1" applyFill="1"/>
    <xf numFmtId="0" fontId="9" fillId="0" borderId="1" xfId="0" applyFont="1" applyBorder="1" applyAlignment="1">
      <alignment horizontal="center"/>
    </xf>
    <xf numFmtId="0" fontId="39" fillId="0" borderId="0" xfId="0" applyFont="1"/>
    <xf numFmtId="44" fontId="9" fillId="0" borderId="62" xfId="0" applyNumberFormat="1" applyFont="1" applyBorder="1"/>
    <xf numFmtId="0" fontId="33" fillId="0" borderId="0" xfId="0" applyFont="1" applyAlignment="1">
      <alignment horizontal="left" vertical="center" wrapText="1" indent="1"/>
    </xf>
    <xf numFmtId="0" fontId="33" fillId="0" borderId="0" xfId="0" applyFont="1" applyAlignment="1">
      <alignment horizontal="left" vertical="center" wrapText="1" indent="2"/>
    </xf>
    <xf numFmtId="0" fontId="4" fillId="4" borderId="0" xfId="6"/>
    <xf numFmtId="0" fontId="2" fillId="2" borderId="0" xfId="4"/>
    <xf numFmtId="166" fontId="3" fillId="3" borderId="0" xfId="5" applyNumberFormat="1"/>
    <xf numFmtId="165" fontId="3" fillId="3" borderId="0" xfId="5" applyNumberFormat="1"/>
    <xf numFmtId="168" fontId="3" fillId="3" borderId="0" xfId="5" applyNumberFormat="1" applyAlignment="1">
      <alignment horizontal="left" vertical="top"/>
    </xf>
    <xf numFmtId="14" fontId="0" fillId="0" borderId="0" xfId="0" applyNumberFormat="1"/>
    <xf numFmtId="0" fontId="0" fillId="5" borderId="0" xfId="0" applyFill="1"/>
    <xf numFmtId="14" fontId="2" fillId="2" borderId="0" xfId="4" applyNumberFormat="1"/>
    <xf numFmtId="165" fontId="2" fillId="2" borderId="0" xfId="4" applyNumberFormat="1"/>
    <xf numFmtId="14" fontId="0" fillId="8" borderId="0" xfId="0" applyNumberFormat="1" applyFill="1"/>
    <xf numFmtId="165" fontId="0" fillId="0" borderId="0" xfId="0" applyNumberFormat="1"/>
    <xf numFmtId="43" fontId="0" fillId="0" borderId="0" xfId="0" applyNumberFormat="1"/>
    <xf numFmtId="14" fontId="0" fillId="0" borderId="57" xfId="0" applyNumberFormat="1" applyBorder="1"/>
    <xf numFmtId="14" fontId="0" fillId="0" borderId="59" xfId="0" applyNumberFormat="1" applyBorder="1"/>
    <xf numFmtId="14" fontId="0" fillId="5" borderId="57" xfId="0" applyNumberFormat="1" applyFill="1" applyBorder="1"/>
    <xf numFmtId="14" fontId="0" fillId="5" borderId="59" xfId="0" applyNumberFormat="1" applyFill="1" applyBorder="1"/>
    <xf numFmtId="0" fontId="0" fillId="0" borderId="57" xfId="0" applyBorder="1"/>
    <xf numFmtId="0" fontId="0" fillId="0" borderId="59" xfId="0" applyBorder="1"/>
    <xf numFmtId="0" fontId="0" fillId="0" borderId="0" xfId="0" applyAlignment="1">
      <alignment horizontal="left"/>
    </xf>
    <xf numFmtId="0" fontId="0" fillId="5" borderId="54" xfId="0" applyFill="1" applyBorder="1"/>
    <xf numFmtId="0" fontId="0" fillId="5" borderId="55" xfId="0" applyFill="1" applyBorder="1"/>
    <xf numFmtId="0" fontId="0" fillId="5" borderId="56" xfId="0" applyFill="1" applyBorder="1"/>
    <xf numFmtId="0" fontId="0" fillId="0" borderId="45" xfId="0" applyBorder="1"/>
    <xf numFmtId="0" fontId="0" fillId="0" borderId="58" xfId="0" applyBorder="1"/>
    <xf numFmtId="10" fontId="0" fillId="0" borderId="45" xfId="0" applyNumberFormat="1" applyBorder="1"/>
    <xf numFmtId="10" fontId="0" fillId="0" borderId="58" xfId="0" applyNumberFormat="1" applyBorder="1"/>
    <xf numFmtId="0" fontId="6" fillId="16" borderId="45" xfId="7" applyFill="1" applyBorder="1"/>
    <xf numFmtId="0" fontId="8" fillId="0" borderId="45" xfId="0" applyFont="1" applyBorder="1"/>
    <xf numFmtId="0" fontId="9" fillId="5" borderId="54" xfId="0" applyFont="1" applyFill="1" applyBorder="1" applyAlignment="1">
      <alignment horizontal="left" vertical="center" indent="1"/>
    </xf>
    <xf numFmtId="0" fontId="9" fillId="5" borderId="55" xfId="0" applyFont="1" applyFill="1" applyBorder="1" applyAlignment="1">
      <alignment horizontal="left" vertical="center" indent="1"/>
    </xf>
    <xf numFmtId="0" fontId="9" fillId="5" borderId="56" xfId="0" applyFont="1" applyFill="1" applyBorder="1" applyAlignment="1">
      <alignment horizontal="left" vertical="center" indent="1"/>
    </xf>
    <xf numFmtId="0" fontId="8" fillId="0" borderId="58" xfId="0" applyFont="1" applyBorder="1"/>
    <xf numFmtId="0" fontId="8" fillId="0" borderId="60" xfId="0" applyFont="1" applyBorder="1"/>
    <xf numFmtId="0" fontId="8" fillId="0" borderId="61" xfId="0" applyFont="1" applyBorder="1"/>
    <xf numFmtId="14" fontId="8" fillId="0" borderId="57" xfId="0" applyNumberFormat="1" applyFont="1" applyBorder="1" applyAlignment="1">
      <alignment horizontal="center" vertical="center"/>
    </xf>
    <xf numFmtId="0" fontId="8" fillId="0" borderId="57" xfId="0" applyFont="1" applyBorder="1" applyAlignment="1">
      <alignment horizontal="center" vertical="center"/>
    </xf>
    <xf numFmtId="0" fontId="8" fillId="0" borderId="59" xfId="0" applyFont="1" applyBorder="1" applyAlignment="1">
      <alignment horizontal="center" vertical="center"/>
    </xf>
    <xf numFmtId="0" fontId="8" fillId="0" borderId="59" xfId="0" applyFont="1" applyBorder="1"/>
    <xf numFmtId="0" fontId="9" fillId="5" borderId="54" xfId="0" applyFont="1" applyFill="1" applyBorder="1" applyAlignment="1">
      <alignment horizontal="left" vertical="center" indent="2"/>
    </xf>
    <xf numFmtId="0" fontId="9" fillId="5" borderId="56" xfId="0" applyFont="1" applyFill="1" applyBorder="1" applyAlignment="1">
      <alignment horizontal="left" vertical="center" indent="2"/>
    </xf>
    <xf numFmtId="0" fontId="9" fillId="0" borderId="0" xfId="0" applyFont="1" applyAlignment="1">
      <alignment horizontal="left" vertical="center"/>
    </xf>
    <xf numFmtId="0" fontId="8" fillId="0" borderId="57" xfId="0" applyFont="1" applyBorder="1" applyAlignment="1">
      <alignment horizontal="left" wrapText="1"/>
    </xf>
    <xf numFmtId="0" fontId="8" fillId="0" borderId="58" xfId="0" applyFont="1" applyBorder="1" applyAlignment="1">
      <alignment horizontal="left" wrapText="1"/>
    </xf>
    <xf numFmtId="14" fontId="29" fillId="5" borderId="3" xfId="0" applyNumberFormat="1" applyFont="1" applyFill="1" applyBorder="1" applyAlignment="1">
      <alignment horizontal="left" vertical="top" wrapText="1"/>
    </xf>
    <xf numFmtId="14" fontId="19" fillId="0" borderId="0" xfId="4" applyNumberFormat="1" applyFont="1" applyFill="1"/>
    <xf numFmtId="165" fontId="19" fillId="0" borderId="0" xfId="1" applyNumberFormat="1" applyFont="1" applyFill="1"/>
    <xf numFmtId="165" fontId="19" fillId="0" borderId="0" xfId="1" applyNumberFormat="1" applyFont="1"/>
    <xf numFmtId="166" fontId="12" fillId="0" borderId="0" xfId="1" applyNumberFormat="1" applyFont="1"/>
    <xf numFmtId="43" fontId="3" fillId="3" borderId="0" xfId="5" applyNumberFormat="1"/>
    <xf numFmtId="14" fontId="9" fillId="5" borderId="54" xfId="0" applyNumberFormat="1" applyFont="1" applyFill="1" applyBorder="1" applyAlignment="1">
      <alignment horizontal="center" wrapText="1"/>
    </xf>
    <xf numFmtId="14" fontId="9" fillId="5" borderId="55" xfId="0" applyNumberFormat="1" applyFont="1" applyFill="1" applyBorder="1" applyAlignment="1">
      <alignment horizontal="center" wrapText="1"/>
    </xf>
    <xf numFmtId="14" fontId="9" fillId="5" borderId="56" xfId="0" applyNumberFormat="1" applyFont="1" applyFill="1" applyBorder="1" applyAlignment="1">
      <alignment horizontal="center" wrapText="1"/>
    </xf>
    <xf numFmtId="0" fontId="6" fillId="14" borderId="45" xfId="7" applyFill="1" applyBorder="1"/>
    <xf numFmtId="0" fontId="6" fillId="10" borderId="45" xfId="7" applyFill="1" applyBorder="1"/>
    <xf numFmtId="0" fontId="6" fillId="17" borderId="45" xfId="7" applyFill="1" applyBorder="1"/>
    <xf numFmtId="0" fontId="6" fillId="5" borderId="45" xfId="7" applyFill="1" applyBorder="1"/>
    <xf numFmtId="43" fontId="10" fillId="0" borderId="0" xfId="1" applyFont="1" applyFill="1"/>
    <xf numFmtId="43" fontId="8" fillId="0" borderId="0" xfId="1" applyFont="1" applyFill="1" applyBorder="1"/>
    <xf numFmtId="0" fontId="29" fillId="0" borderId="0" xfId="0" applyFont="1"/>
    <xf numFmtId="14" fontId="8" fillId="8" borderId="57" xfId="0" applyNumberFormat="1" applyFont="1" applyFill="1" applyBorder="1"/>
    <xf numFmtId="14" fontId="8" fillId="8" borderId="45" xfId="0" applyNumberFormat="1" applyFont="1" applyFill="1" applyBorder="1"/>
    <xf numFmtId="166" fontId="8" fillId="8" borderId="45" xfId="1" applyNumberFormat="1" applyFont="1" applyFill="1" applyBorder="1"/>
    <xf numFmtId="43" fontId="8" fillId="8" borderId="45" xfId="1" applyFont="1" applyFill="1" applyBorder="1"/>
    <xf numFmtId="0" fontId="0" fillId="8" borderId="45" xfId="0" applyFill="1" applyBorder="1"/>
    <xf numFmtId="43" fontId="8" fillId="8" borderId="58" xfId="1" applyFont="1" applyFill="1" applyBorder="1"/>
    <xf numFmtId="14" fontId="8" fillId="8" borderId="0" xfId="4" applyNumberFormat="1" applyFont="1" applyFill="1"/>
    <xf numFmtId="0" fontId="12" fillId="0" borderId="0" xfId="7" applyFont="1" applyBorder="1"/>
    <xf numFmtId="0" fontId="37" fillId="0" borderId="0" xfId="0" applyFont="1"/>
    <xf numFmtId="43" fontId="9" fillId="0" borderId="0" xfId="1" applyFont="1" applyBorder="1"/>
    <xf numFmtId="44" fontId="8" fillId="6" borderId="0" xfId="0" applyNumberFormat="1" applyFont="1" applyFill="1"/>
    <xf numFmtId="10" fontId="9" fillId="0" borderId="0" xfId="0" applyNumberFormat="1" applyFont="1"/>
    <xf numFmtId="44" fontId="3" fillId="3" borderId="0" xfId="5" applyNumberFormat="1" applyBorder="1"/>
    <xf numFmtId="10" fontId="8" fillId="0" borderId="63" xfId="3" applyNumberFormat="1" applyFont="1" applyBorder="1"/>
    <xf numFmtId="44" fontId="8" fillId="0" borderId="63" xfId="2" applyFont="1" applyFill="1" applyBorder="1"/>
    <xf numFmtId="0" fontId="8" fillId="0" borderId="63" xfId="0" applyFont="1" applyBorder="1"/>
    <xf numFmtId="44" fontId="8" fillId="0" borderId="63" xfId="2" applyFont="1" applyBorder="1"/>
    <xf numFmtId="10" fontId="9" fillId="0" borderId="62" xfId="0" applyNumberFormat="1" applyFont="1" applyBorder="1"/>
    <xf numFmtId="44" fontId="9" fillId="0" borderId="62" xfId="2" applyFont="1" applyFill="1" applyBorder="1"/>
    <xf numFmtId="44" fontId="9" fillId="0" borderId="62" xfId="2" applyFont="1" applyBorder="1"/>
    <xf numFmtId="10" fontId="19" fillId="8" borderId="0" xfId="3" applyNumberFormat="1" applyFont="1" applyFill="1"/>
    <xf numFmtId="0" fontId="8" fillId="0" borderId="0" xfId="0" applyFont="1" applyAlignment="1">
      <alignment horizontal="right" vertical="top"/>
    </xf>
    <xf numFmtId="168" fontId="8" fillId="0" borderId="0" xfId="0" applyNumberFormat="1" applyFont="1" applyAlignment="1">
      <alignment horizontal="right" vertical="top"/>
    </xf>
    <xf numFmtId="0" fontId="19" fillId="0" borderId="0" xfId="0" applyFont="1" applyAlignment="1">
      <alignment horizontal="right" vertical="top"/>
    </xf>
    <xf numFmtId="168" fontId="19" fillId="0" borderId="0" xfId="0" applyNumberFormat="1" applyFont="1" applyAlignment="1">
      <alignment horizontal="right" vertical="top"/>
    </xf>
    <xf numFmtId="44" fontId="3" fillId="3" borderId="0" xfId="5" applyNumberFormat="1" applyAlignment="1">
      <alignment horizontal="left" vertical="top"/>
    </xf>
    <xf numFmtId="0" fontId="8" fillId="17" borderId="0" xfId="0" applyFont="1" applyFill="1"/>
    <xf numFmtId="165" fontId="8" fillId="17" borderId="0" xfId="4" applyNumberFormat="1" applyFont="1" applyFill="1"/>
    <xf numFmtId="14" fontId="8" fillId="0" borderId="57" xfId="0" applyNumberFormat="1" applyFont="1" applyBorder="1"/>
    <xf numFmtId="14" fontId="8" fillId="0" borderId="45" xfId="0" applyNumberFormat="1" applyFont="1" applyBorder="1"/>
    <xf numFmtId="166" fontId="8" fillId="0" borderId="45" xfId="1" applyNumberFormat="1" applyFont="1" applyFill="1" applyBorder="1"/>
    <xf numFmtId="43" fontId="8" fillId="0" borderId="45" xfId="1" applyFont="1" applyFill="1" applyBorder="1"/>
    <xf numFmtId="43" fontId="8" fillId="0" borderId="58" xfId="1" applyFont="1" applyFill="1" applyBorder="1"/>
    <xf numFmtId="43" fontId="19" fillId="0" borderId="0" xfId="1" applyFont="1" applyFill="1"/>
    <xf numFmtId="166" fontId="8" fillId="0" borderId="0" xfId="1" applyNumberFormat="1" applyFont="1" applyFill="1"/>
    <xf numFmtId="0" fontId="3" fillId="3" borderId="0" xfId="5"/>
    <xf numFmtId="44" fontId="8" fillId="5" borderId="0" xfId="2" quotePrefix="1" applyFont="1" applyFill="1" applyBorder="1"/>
    <xf numFmtId="44" fontId="8" fillId="5" borderId="1" xfId="0" applyNumberFormat="1" applyFont="1" applyFill="1" applyBorder="1"/>
    <xf numFmtId="165" fontId="28" fillId="5" borderId="0" xfId="1" applyNumberFormat="1" applyFont="1" applyFill="1"/>
    <xf numFmtId="165" fontId="7" fillId="5" borderId="0" xfId="1" applyNumberFormat="1" applyFont="1" applyFill="1"/>
    <xf numFmtId="165" fontId="28" fillId="5" borderId="0" xfId="0" applyNumberFormat="1" applyFont="1" applyFill="1"/>
    <xf numFmtId="165" fontId="7" fillId="0" borderId="0" xfId="1" applyNumberFormat="1" applyFont="1" applyFill="1"/>
    <xf numFmtId="165" fontId="7" fillId="0" borderId="28" xfId="0" applyNumberFormat="1" applyFont="1" applyBorder="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8" fillId="17" borderId="1" xfId="4" applyFont="1" applyFill="1" applyBorder="1" applyAlignment="1">
      <alignment horizontal="center" vertical="center"/>
    </xf>
    <xf numFmtId="0" fontId="9" fillId="0" borderId="0" xfId="0" applyFont="1" applyAlignment="1">
      <alignment horizontal="center" vertical="center"/>
    </xf>
    <xf numFmtId="14" fontId="18" fillId="0" borderId="0" xfId="2" applyNumberFormat="1" applyFont="1"/>
    <xf numFmtId="0" fontId="24" fillId="5" borderId="0" xfId="0" applyFont="1" applyFill="1"/>
    <xf numFmtId="0" fontId="27" fillId="5" borderId="0" xfId="0" applyFont="1" applyFill="1"/>
    <xf numFmtId="0" fontId="5" fillId="5" borderId="55" xfId="0" applyFont="1" applyFill="1" applyBorder="1" applyAlignment="1">
      <alignment horizontal="center"/>
    </xf>
    <xf numFmtId="0" fontId="5" fillId="5" borderId="56" xfId="0" applyFont="1" applyFill="1" applyBorder="1" applyAlignment="1">
      <alignment horizontal="center"/>
    </xf>
    <xf numFmtId="14" fontId="40" fillId="10" borderId="12" xfId="0" applyNumberFormat="1" applyFont="1" applyFill="1" applyBorder="1" applyAlignment="1">
      <alignment horizontal="center" vertical="center" wrapText="1"/>
    </xf>
    <xf numFmtId="43" fontId="9" fillId="8" borderId="1" xfId="1" applyFont="1" applyFill="1" applyBorder="1" applyAlignment="1">
      <alignment horizontal="center" vertical="center"/>
    </xf>
    <xf numFmtId="43" fontId="9" fillId="0" borderId="1" xfId="1" applyFont="1" applyBorder="1" applyAlignment="1">
      <alignment horizontal="center" vertical="center"/>
    </xf>
    <xf numFmtId="0" fontId="8" fillId="0" borderId="0" xfId="0" applyFont="1" applyAlignment="1">
      <alignment horizontal="left" vertical="top" wrapText="1"/>
    </xf>
    <xf numFmtId="0" fontId="8" fillId="0" borderId="12" xfId="0" applyFont="1" applyBorder="1" applyAlignment="1">
      <alignment horizontal="left" vertical="top" wrapText="1"/>
    </xf>
    <xf numFmtId="0" fontId="13" fillId="0" borderId="0" xfId="0" applyFont="1" applyAlignment="1">
      <alignment horizontal="left" vertical="center"/>
    </xf>
    <xf numFmtId="0" fontId="9" fillId="5" borderId="12" xfId="0" applyFont="1" applyFill="1" applyBorder="1" applyAlignment="1">
      <alignment horizontal="center" vertical="center" wrapText="1"/>
    </xf>
    <xf numFmtId="168" fontId="8" fillId="0" borderId="23" xfId="2" applyNumberFormat="1" applyFont="1" applyBorder="1" applyAlignment="1">
      <alignment horizontal="left" vertical="center" wrapText="1"/>
    </xf>
    <xf numFmtId="168" fontId="8" fillId="0" borderId="22" xfId="2" applyNumberFormat="1" applyFont="1" applyBorder="1" applyAlignment="1">
      <alignment horizontal="left" vertical="center" wrapText="1"/>
    </xf>
    <xf numFmtId="168" fontId="8" fillId="0" borderId="12" xfId="2" applyNumberFormat="1" applyFont="1" applyBorder="1" applyAlignment="1">
      <alignment horizontal="left" vertical="center"/>
    </xf>
    <xf numFmtId="168" fontId="8" fillId="0" borderId="12" xfId="2" applyNumberFormat="1" applyFont="1" applyBorder="1" applyAlignment="1">
      <alignment horizontal="left" vertical="center" wrapText="1"/>
    </xf>
    <xf numFmtId="168" fontId="8" fillId="0" borderId="12" xfId="2" applyNumberFormat="1" applyFont="1" applyBorder="1" applyAlignment="1">
      <alignment horizontal="left" vertical="top" wrapText="1"/>
    </xf>
    <xf numFmtId="0" fontId="8" fillId="10" borderId="0" xfId="0" applyFont="1" applyFill="1" applyAlignment="1">
      <alignment horizontal="center" wrapText="1"/>
    </xf>
    <xf numFmtId="43" fontId="9" fillId="5" borderId="35" xfId="1" applyFont="1" applyFill="1" applyBorder="1" applyAlignment="1">
      <alignment horizontal="center" vertical="top" wrapText="1"/>
    </xf>
    <xf numFmtId="43" fontId="9" fillId="5" borderId="36" xfId="1" applyFont="1" applyFill="1" applyBorder="1" applyAlignment="1">
      <alignment horizontal="center" vertical="top" wrapText="1"/>
    </xf>
  </cellXfs>
  <cellStyles count="8">
    <cellStyle name="Bad" xfId="5" builtinId="27"/>
    <cellStyle name="Comma" xfId="1" builtinId="3"/>
    <cellStyle name="Currency" xfId="2" builtinId="4"/>
    <cellStyle name="Good" xfId="4" builtinId="26"/>
    <cellStyle name="Hyperlink" xfId="7" builtinId="8"/>
    <cellStyle name="Neutral" xfId="6" builtinId="28"/>
    <cellStyle name="Normal" xfId="0" builtinId="0"/>
    <cellStyle name="Percent" xfId="3" builtinId="5"/>
  </cellStyles>
  <dxfs count="10">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ADCCEF69-BE1C-47FC-9E83-74BA23E746A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latin typeface="+mn-lt"/>
                <a:ea typeface="+mn-ea"/>
                <a:cs typeface="+mn-cs"/>
              </a:rPr>
              <a:t>Balance Sheet</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Data!$M$12</c:f>
              <c:strCache>
                <c:ptCount val="1"/>
                <c:pt idx="0">
                  <c:v>Total Assets</c:v>
                </c:pt>
              </c:strCache>
            </c:strRef>
          </c:tx>
          <c:spPr>
            <a:solidFill>
              <a:schemeClr val="accent1"/>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Data!$M$13:$M$16</c:f>
              <c:numCache>
                <c:formatCode>_(* #,##0_);_(* \(#,##0\);_(* "-"??_);_(@_)</c:formatCode>
                <c:ptCount val="4"/>
                <c:pt idx="0">
                  <c:v>5468916.666666667</c:v>
                </c:pt>
                <c:pt idx="1">
                  <c:v>14890333.333333332</c:v>
                </c:pt>
                <c:pt idx="2">
                  <c:v>15025539.502321934</c:v>
                </c:pt>
                <c:pt idx="3">
                  <c:v>10639937.085591255</c:v>
                </c:pt>
              </c:numCache>
            </c:numRef>
          </c:val>
          <c:extLst>
            <c:ext xmlns:c16="http://schemas.microsoft.com/office/drawing/2014/chart" uri="{C3380CC4-5D6E-409C-BE32-E72D297353CC}">
              <c16:uniqueId val="{00000000-662F-4522-9130-FE6503A06748}"/>
            </c:ext>
          </c:extLst>
        </c:ser>
        <c:ser>
          <c:idx val="1"/>
          <c:order val="1"/>
          <c:tx>
            <c:strRef>
              <c:f>Data!$N$12</c:f>
              <c:strCache>
                <c:ptCount val="1"/>
                <c:pt idx="0">
                  <c:v>Total Liabilities</c:v>
                </c:pt>
              </c:strCache>
            </c:strRef>
          </c:tx>
          <c:spPr>
            <a:solidFill>
              <a:schemeClr val="accent2"/>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Data!$N$13:$N$16</c:f>
              <c:numCache>
                <c:formatCode>_(* #,##0_);_(* \(#,##0\);_(* "-"??_);_(@_)</c:formatCode>
                <c:ptCount val="4"/>
                <c:pt idx="0">
                  <c:v>15000</c:v>
                </c:pt>
                <c:pt idx="1">
                  <c:v>30000</c:v>
                </c:pt>
                <c:pt idx="2">
                  <c:v>45000</c:v>
                </c:pt>
                <c:pt idx="3">
                  <c:v>60000</c:v>
                </c:pt>
              </c:numCache>
            </c:numRef>
          </c:val>
          <c:extLst>
            <c:ext xmlns:c16="http://schemas.microsoft.com/office/drawing/2014/chart" uri="{C3380CC4-5D6E-409C-BE32-E72D297353CC}">
              <c16:uniqueId val="{00000001-662F-4522-9130-FE6503A06748}"/>
            </c:ext>
          </c:extLst>
        </c:ser>
        <c:ser>
          <c:idx val="2"/>
          <c:order val="2"/>
          <c:tx>
            <c:strRef>
              <c:f>Data!$O$12</c:f>
              <c:strCache>
                <c:ptCount val="1"/>
                <c:pt idx="0">
                  <c:v>Ending Partners's Capital</c:v>
                </c:pt>
              </c:strCache>
            </c:strRef>
          </c:tx>
          <c:spPr>
            <a:solidFill>
              <a:schemeClr val="accent3"/>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Data!$O$13:$O$16</c:f>
              <c:numCache>
                <c:formatCode>_(* #,##0_);_(* \(#,##0\);_(* "-"??_);_(@_)</c:formatCode>
                <c:ptCount val="4"/>
                <c:pt idx="0">
                  <c:v>5453916.666666667</c:v>
                </c:pt>
                <c:pt idx="1">
                  <c:v>14860333.333333334</c:v>
                </c:pt>
                <c:pt idx="2">
                  <c:v>14980539.502321934</c:v>
                </c:pt>
                <c:pt idx="3">
                  <c:v>10579937.085591255</c:v>
                </c:pt>
              </c:numCache>
            </c:numRef>
          </c:val>
          <c:extLst>
            <c:ext xmlns:c16="http://schemas.microsoft.com/office/drawing/2014/chart" uri="{C3380CC4-5D6E-409C-BE32-E72D297353CC}">
              <c16:uniqueId val="{00000002-662F-4522-9130-FE6503A06748}"/>
            </c:ext>
          </c:extLst>
        </c:ser>
        <c:dLbls>
          <c:showLegendKey val="0"/>
          <c:showVal val="0"/>
          <c:showCatName val="0"/>
          <c:showSerName val="0"/>
          <c:showPercent val="0"/>
          <c:showBubbleSize val="0"/>
        </c:dLbls>
        <c:gapWidth val="0"/>
        <c:axId val="551100880"/>
        <c:axId val="551095120"/>
      </c:barChart>
      <c:dateAx>
        <c:axId val="551100880"/>
        <c:scaling>
          <c:orientation val="minMax"/>
          <c:max val="45657"/>
        </c:scaling>
        <c:delete val="0"/>
        <c:axPos val="b"/>
        <c:numFmt formatCode="[$-409]mmmm\-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095120"/>
        <c:crosses val="autoZero"/>
        <c:auto val="0"/>
        <c:lblOffset val="100"/>
        <c:baseTimeUnit val="months"/>
        <c:majorUnit val="3"/>
        <c:majorTimeUnit val="months"/>
        <c:minorUnit val="3"/>
        <c:minorTimeUnit val="months"/>
      </c:dateAx>
      <c:valAx>
        <c:axId val="55109512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100880"/>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a:glow>
            <a:schemeClr val="accent1">
              <a:alpha val="40000"/>
            </a:schemeClr>
          </a:glow>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latin typeface="+mn-lt"/>
                <a:ea typeface="+mn-ea"/>
                <a:cs typeface="+mn-cs"/>
              </a:rPr>
              <a:t>Quarterly Income Statement</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stacked"/>
        <c:varyColors val="0"/>
        <c:ser>
          <c:idx val="0"/>
          <c:order val="0"/>
          <c:tx>
            <c:strRef>
              <c:f>Data!$L$55</c:f>
              <c:strCache>
                <c:ptCount val="1"/>
                <c:pt idx="0">
                  <c:v>Interest Income</c:v>
                </c:pt>
              </c:strCache>
            </c:strRef>
          </c:tx>
          <c:spPr>
            <a:solidFill>
              <a:schemeClr val="accent1"/>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Data!$M$55:$P$55</c:f>
              <c:numCache>
                <c:formatCode>_(* #,##0_);_(* \(#,##0\);_(* "-"??_);_(@_)</c:formatCode>
                <c:ptCount val="4"/>
                <c:pt idx="0">
                  <c:v>0</c:v>
                </c:pt>
                <c:pt idx="1">
                  <c:v>50833.333333333336</c:v>
                </c:pt>
                <c:pt idx="2">
                  <c:v>147956.16898860098</c:v>
                </c:pt>
                <c:pt idx="3">
                  <c:v>140980.67334224028</c:v>
                </c:pt>
              </c:numCache>
            </c:numRef>
          </c:val>
          <c:extLst>
            <c:ext xmlns:c16="http://schemas.microsoft.com/office/drawing/2014/chart" uri="{C3380CC4-5D6E-409C-BE32-E72D297353CC}">
              <c16:uniqueId val="{00000004-EE4D-454E-8A50-1C7201FDF48D}"/>
            </c:ext>
          </c:extLst>
        </c:ser>
        <c:ser>
          <c:idx val="1"/>
          <c:order val="1"/>
          <c:tx>
            <c:strRef>
              <c:f>Data!$L$56</c:f>
              <c:strCache>
                <c:ptCount val="1"/>
                <c:pt idx="0">
                  <c:v>Dividend Income</c:v>
                </c:pt>
              </c:strCache>
            </c:strRef>
          </c:tx>
          <c:spPr>
            <a:solidFill>
              <a:schemeClr val="accent2"/>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Data!$M$56:$P$56</c:f>
              <c:numCache>
                <c:formatCode>_(* #,##0_);_(* \(#,##0\);_(* "-"??_);_(@_)</c:formatCode>
                <c:ptCount val="4"/>
                <c:pt idx="0">
                  <c:v>36666.666666666664</c:v>
                </c:pt>
                <c:pt idx="1">
                  <c:v>63333.333333333336</c:v>
                </c:pt>
                <c:pt idx="2">
                  <c:v>80000</c:v>
                </c:pt>
                <c:pt idx="3">
                  <c:v>80000</c:v>
                </c:pt>
              </c:numCache>
            </c:numRef>
          </c:val>
          <c:extLst>
            <c:ext xmlns:c16="http://schemas.microsoft.com/office/drawing/2014/chart" uri="{C3380CC4-5D6E-409C-BE32-E72D297353CC}">
              <c16:uniqueId val="{00000005-EE4D-454E-8A50-1C7201FDF48D}"/>
            </c:ext>
          </c:extLst>
        </c:ser>
        <c:ser>
          <c:idx val="2"/>
          <c:order val="2"/>
          <c:tx>
            <c:strRef>
              <c:f>Data!$L$57</c:f>
              <c:strCache>
                <c:ptCount val="1"/>
                <c:pt idx="0">
                  <c:v>Management Fee</c:v>
                </c:pt>
              </c:strCache>
            </c:strRef>
          </c:tx>
          <c:spPr>
            <a:solidFill>
              <a:schemeClr val="accent3"/>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Data!$M$57:$P$57</c:f>
              <c:numCache>
                <c:formatCode>_(* #,##0_);_(* \(#,##0\);_(* "-"??_);_(@_)</c:formatCode>
                <c:ptCount val="4"/>
                <c:pt idx="0">
                  <c:v>-75000</c:v>
                </c:pt>
                <c:pt idx="1">
                  <c:v>-75000</c:v>
                </c:pt>
                <c:pt idx="2">
                  <c:v>-75000</c:v>
                </c:pt>
                <c:pt idx="3">
                  <c:v>-75000</c:v>
                </c:pt>
              </c:numCache>
            </c:numRef>
          </c:val>
          <c:extLst>
            <c:ext xmlns:c16="http://schemas.microsoft.com/office/drawing/2014/chart" uri="{C3380CC4-5D6E-409C-BE32-E72D297353CC}">
              <c16:uniqueId val="{00000006-EE4D-454E-8A50-1C7201FDF48D}"/>
            </c:ext>
          </c:extLst>
        </c:ser>
        <c:ser>
          <c:idx val="3"/>
          <c:order val="3"/>
          <c:tx>
            <c:strRef>
              <c:f>Data!$L$58</c:f>
              <c:strCache>
                <c:ptCount val="1"/>
                <c:pt idx="0">
                  <c:v>Professional Fees</c:v>
                </c:pt>
              </c:strCache>
            </c:strRef>
          </c:tx>
          <c:spPr>
            <a:solidFill>
              <a:schemeClr val="accent4"/>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Data!$M$58:$P$58</c:f>
              <c:numCache>
                <c:formatCode>_(* #,##0_);_(* \(#,##0\);_(* "-"??_);_(@_)</c:formatCode>
                <c:ptCount val="4"/>
                <c:pt idx="0">
                  <c:v>-107750</c:v>
                </c:pt>
                <c:pt idx="1">
                  <c:v>-32750</c:v>
                </c:pt>
                <c:pt idx="2">
                  <c:v>-32750</c:v>
                </c:pt>
                <c:pt idx="3">
                  <c:v>-32750</c:v>
                </c:pt>
              </c:numCache>
            </c:numRef>
          </c:val>
          <c:extLst>
            <c:ext xmlns:c16="http://schemas.microsoft.com/office/drawing/2014/chart" uri="{C3380CC4-5D6E-409C-BE32-E72D297353CC}">
              <c16:uniqueId val="{00000007-EE4D-454E-8A50-1C7201FDF48D}"/>
            </c:ext>
          </c:extLst>
        </c:ser>
        <c:ser>
          <c:idx val="4"/>
          <c:order val="4"/>
          <c:tx>
            <c:strRef>
              <c:f>Data!$L$59</c:f>
              <c:strCache>
                <c:ptCount val="1"/>
                <c:pt idx="0">
                  <c:v>Organizational Costs</c:v>
                </c:pt>
              </c:strCache>
            </c:strRef>
          </c:tx>
          <c:spPr>
            <a:solidFill>
              <a:schemeClr val="accent5"/>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Data!$M$59:$P$59</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8-EE4D-454E-8A50-1C7201FDF48D}"/>
            </c:ext>
          </c:extLst>
        </c:ser>
        <c:ser>
          <c:idx val="5"/>
          <c:order val="5"/>
          <c:tx>
            <c:strRef>
              <c:f>Data!$L$60</c:f>
              <c:strCache>
                <c:ptCount val="1"/>
                <c:pt idx="0">
                  <c:v>Net realized gain (loss) from investments</c:v>
                </c:pt>
              </c:strCache>
            </c:strRef>
          </c:tx>
          <c:spPr>
            <a:solidFill>
              <a:schemeClr val="accent6"/>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Data!$M$60:$P$60</c:f>
              <c:numCache>
                <c:formatCode>_(* #,##0_);_(* \(#,##0\);_(* "-"??_);_(@_)</c:formatCode>
                <c:ptCount val="4"/>
                <c:pt idx="0">
                  <c:v>0</c:v>
                </c:pt>
                <c:pt idx="1">
                  <c:v>0</c:v>
                </c:pt>
                <c:pt idx="2">
                  <c:v>0</c:v>
                </c:pt>
                <c:pt idx="3">
                  <c:v>4600000</c:v>
                </c:pt>
              </c:numCache>
            </c:numRef>
          </c:val>
          <c:extLst>
            <c:ext xmlns:c16="http://schemas.microsoft.com/office/drawing/2014/chart" uri="{C3380CC4-5D6E-409C-BE32-E72D297353CC}">
              <c16:uniqueId val="{00000009-EE4D-454E-8A50-1C7201FDF48D}"/>
            </c:ext>
          </c:extLst>
        </c:ser>
        <c:ser>
          <c:idx val="6"/>
          <c:order val="6"/>
          <c:tx>
            <c:strRef>
              <c:f>Data!$L$61</c:f>
              <c:strCache>
                <c:ptCount val="1"/>
                <c:pt idx="0">
                  <c:v>Net change in unrealized gains and losses on investments</c:v>
                </c:pt>
              </c:strCache>
            </c:strRef>
          </c:tx>
          <c:spPr>
            <a:solidFill>
              <a:schemeClr val="accent1">
                <a:lumMod val="60000"/>
              </a:schemeClr>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Data!$M$61:$P$61</c:f>
              <c:numCache>
                <c:formatCode>_(* #,##0_);_(* \(#,##0\);_(* "-"??_);_(@_)</c:formatCode>
                <c:ptCount val="4"/>
                <c:pt idx="0">
                  <c:v>0</c:v>
                </c:pt>
                <c:pt idx="1">
                  <c:v>0</c:v>
                </c:pt>
                <c:pt idx="2">
                  <c:v>0</c:v>
                </c:pt>
                <c:pt idx="3">
                  <c:v>1000000</c:v>
                </c:pt>
              </c:numCache>
            </c:numRef>
          </c:val>
          <c:extLst>
            <c:ext xmlns:c16="http://schemas.microsoft.com/office/drawing/2014/chart" uri="{C3380CC4-5D6E-409C-BE32-E72D297353CC}">
              <c16:uniqueId val="{0000000A-EE4D-454E-8A50-1C7201FDF48D}"/>
            </c:ext>
          </c:extLst>
        </c:ser>
        <c:dLbls>
          <c:showLegendKey val="0"/>
          <c:showVal val="0"/>
          <c:showCatName val="0"/>
          <c:showSerName val="0"/>
          <c:showPercent val="0"/>
          <c:showBubbleSize val="0"/>
        </c:dLbls>
        <c:gapWidth val="0"/>
        <c:overlap val="100"/>
        <c:axId val="1104605103"/>
        <c:axId val="1104606543"/>
      </c:barChart>
      <c:dateAx>
        <c:axId val="1104605103"/>
        <c:scaling>
          <c:orientation val="minMax"/>
        </c:scaling>
        <c:delete val="0"/>
        <c:axPos val="b"/>
        <c:numFmt formatCode="[$-409]mmmm\-yy;@" sourceLinked="0"/>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104606543"/>
        <c:crosses val="autoZero"/>
        <c:auto val="1"/>
        <c:lblOffset val="100"/>
        <c:baseTimeUnit val="months"/>
        <c:majorUnit val="3"/>
        <c:majorTimeUnit val="months"/>
      </c:dateAx>
      <c:valAx>
        <c:axId val="110460654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104605103"/>
        <c:crosses val="autoZero"/>
        <c:crossBetween val="between"/>
        <c:dispUnits>
          <c:builtInUnit val="thousands"/>
          <c:dispUnitsLbl>
            <c:spPr>
              <a:noFill/>
              <a:ln>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dispUnitsLbl>
        </c:dispUnits>
      </c:valAx>
      <c:spPr>
        <a:noFill/>
        <a:ln>
          <a:noFill/>
        </a:ln>
        <a:effectLst/>
      </c:spPr>
    </c:plotArea>
    <c:legend>
      <c:legendPos val="r"/>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latin typeface="+mn-lt"/>
                <a:ea typeface="+mn-ea"/>
                <a:cs typeface="+mn-cs"/>
              </a:rPr>
              <a:t>Quarterly Income and Expenses</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stacked"/>
        <c:varyColors val="0"/>
        <c:ser>
          <c:idx val="0"/>
          <c:order val="0"/>
          <c:tx>
            <c:strRef>
              <c:f>Data!$L$55</c:f>
              <c:strCache>
                <c:ptCount val="1"/>
                <c:pt idx="0">
                  <c:v>Interest Income</c:v>
                </c:pt>
              </c:strCache>
            </c:strRef>
          </c:tx>
          <c:spPr>
            <a:solidFill>
              <a:schemeClr val="accent1"/>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Data!$M$55:$P$55</c:f>
              <c:numCache>
                <c:formatCode>_(* #,##0_);_(* \(#,##0\);_(* "-"??_);_(@_)</c:formatCode>
                <c:ptCount val="4"/>
                <c:pt idx="0">
                  <c:v>0</c:v>
                </c:pt>
                <c:pt idx="1">
                  <c:v>50833.333333333336</c:v>
                </c:pt>
                <c:pt idx="2">
                  <c:v>147956.16898860098</c:v>
                </c:pt>
                <c:pt idx="3">
                  <c:v>140980.67334224028</c:v>
                </c:pt>
              </c:numCache>
            </c:numRef>
          </c:val>
          <c:extLst>
            <c:ext xmlns:c16="http://schemas.microsoft.com/office/drawing/2014/chart" uri="{C3380CC4-5D6E-409C-BE32-E72D297353CC}">
              <c16:uniqueId val="{00000000-3F83-4648-8485-95C3A226BAC4}"/>
            </c:ext>
          </c:extLst>
        </c:ser>
        <c:ser>
          <c:idx val="1"/>
          <c:order val="1"/>
          <c:tx>
            <c:strRef>
              <c:f>Data!$L$56</c:f>
              <c:strCache>
                <c:ptCount val="1"/>
                <c:pt idx="0">
                  <c:v>Dividend Income</c:v>
                </c:pt>
              </c:strCache>
            </c:strRef>
          </c:tx>
          <c:spPr>
            <a:solidFill>
              <a:schemeClr val="accent2"/>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Data!$M$56:$P$56</c:f>
              <c:numCache>
                <c:formatCode>_(* #,##0_);_(* \(#,##0\);_(* "-"??_);_(@_)</c:formatCode>
                <c:ptCount val="4"/>
                <c:pt idx="0">
                  <c:v>36666.666666666664</c:v>
                </c:pt>
                <c:pt idx="1">
                  <c:v>63333.333333333336</c:v>
                </c:pt>
                <c:pt idx="2">
                  <c:v>80000</c:v>
                </c:pt>
                <c:pt idx="3">
                  <c:v>80000</c:v>
                </c:pt>
              </c:numCache>
            </c:numRef>
          </c:val>
          <c:extLst>
            <c:ext xmlns:c16="http://schemas.microsoft.com/office/drawing/2014/chart" uri="{C3380CC4-5D6E-409C-BE32-E72D297353CC}">
              <c16:uniqueId val="{00000001-3F83-4648-8485-95C3A226BAC4}"/>
            </c:ext>
          </c:extLst>
        </c:ser>
        <c:ser>
          <c:idx val="2"/>
          <c:order val="2"/>
          <c:tx>
            <c:strRef>
              <c:f>Data!$L$57</c:f>
              <c:strCache>
                <c:ptCount val="1"/>
                <c:pt idx="0">
                  <c:v>Management Fee</c:v>
                </c:pt>
              </c:strCache>
            </c:strRef>
          </c:tx>
          <c:spPr>
            <a:solidFill>
              <a:schemeClr val="accent3"/>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Data!$M$57:$P$57</c:f>
              <c:numCache>
                <c:formatCode>_(* #,##0_);_(* \(#,##0\);_(* "-"??_);_(@_)</c:formatCode>
                <c:ptCount val="4"/>
                <c:pt idx="0">
                  <c:v>-75000</c:v>
                </c:pt>
                <c:pt idx="1">
                  <c:v>-75000</c:v>
                </c:pt>
                <c:pt idx="2">
                  <c:v>-75000</c:v>
                </c:pt>
                <c:pt idx="3">
                  <c:v>-75000</c:v>
                </c:pt>
              </c:numCache>
            </c:numRef>
          </c:val>
          <c:extLst>
            <c:ext xmlns:c16="http://schemas.microsoft.com/office/drawing/2014/chart" uri="{C3380CC4-5D6E-409C-BE32-E72D297353CC}">
              <c16:uniqueId val="{00000002-3F83-4648-8485-95C3A226BAC4}"/>
            </c:ext>
          </c:extLst>
        </c:ser>
        <c:ser>
          <c:idx val="3"/>
          <c:order val="3"/>
          <c:tx>
            <c:strRef>
              <c:f>Data!$L$58</c:f>
              <c:strCache>
                <c:ptCount val="1"/>
                <c:pt idx="0">
                  <c:v>Professional Fees</c:v>
                </c:pt>
              </c:strCache>
            </c:strRef>
          </c:tx>
          <c:spPr>
            <a:solidFill>
              <a:schemeClr val="accent4"/>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Data!$M$58:$P$58</c:f>
              <c:numCache>
                <c:formatCode>_(* #,##0_);_(* \(#,##0\);_(* "-"??_);_(@_)</c:formatCode>
                <c:ptCount val="4"/>
                <c:pt idx="0">
                  <c:v>-107750</c:v>
                </c:pt>
                <c:pt idx="1">
                  <c:v>-32750</c:v>
                </c:pt>
                <c:pt idx="2">
                  <c:v>-32750</c:v>
                </c:pt>
                <c:pt idx="3">
                  <c:v>-32750</c:v>
                </c:pt>
              </c:numCache>
            </c:numRef>
          </c:val>
          <c:extLst>
            <c:ext xmlns:c16="http://schemas.microsoft.com/office/drawing/2014/chart" uri="{C3380CC4-5D6E-409C-BE32-E72D297353CC}">
              <c16:uniqueId val="{00000003-3F83-4648-8485-95C3A226BAC4}"/>
            </c:ext>
          </c:extLst>
        </c:ser>
        <c:ser>
          <c:idx val="4"/>
          <c:order val="4"/>
          <c:tx>
            <c:strRef>
              <c:f>Data!$L$59</c:f>
              <c:strCache>
                <c:ptCount val="1"/>
                <c:pt idx="0">
                  <c:v>Organizational Costs</c:v>
                </c:pt>
              </c:strCache>
            </c:strRef>
          </c:tx>
          <c:spPr>
            <a:solidFill>
              <a:schemeClr val="accent5"/>
            </a:solidFill>
            <a:ln>
              <a:noFill/>
            </a:ln>
            <a:effectLst/>
          </c:spPr>
          <c:invertIfNegative val="0"/>
          <c:cat>
            <c:numRef>
              <c:f>Data!$M$54:$P$54</c:f>
              <c:numCache>
                <c:formatCode>m/d/yyyy</c:formatCode>
                <c:ptCount val="4"/>
                <c:pt idx="0">
                  <c:v>45382</c:v>
                </c:pt>
                <c:pt idx="1">
                  <c:v>45473</c:v>
                </c:pt>
                <c:pt idx="2">
                  <c:v>45565</c:v>
                </c:pt>
                <c:pt idx="3">
                  <c:v>45657</c:v>
                </c:pt>
              </c:numCache>
            </c:numRef>
          </c:cat>
          <c:val>
            <c:numRef>
              <c:f>Data!$M$59:$P$59</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4-3F83-4648-8485-95C3A226BAC4}"/>
            </c:ext>
          </c:extLst>
        </c:ser>
        <c:dLbls>
          <c:showLegendKey val="0"/>
          <c:showVal val="0"/>
          <c:showCatName val="0"/>
          <c:showSerName val="0"/>
          <c:showPercent val="0"/>
          <c:showBubbleSize val="0"/>
        </c:dLbls>
        <c:gapWidth val="0"/>
        <c:overlap val="100"/>
        <c:axId val="1104605103"/>
        <c:axId val="1104606543"/>
        <c:extLst>
          <c:ext xmlns:c15="http://schemas.microsoft.com/office/drawing/2012/chart" uri="{02D57815-91ED-43cb-92C2-25804820EDAC}">
            <c15:filteredBarSeries>
              <c15:ser>
                <c:idx val="5"/>
                <c:order val="5"/>
                <c:tx>
                  <c:strRef>
                    <c:extLst>
                      <c:ext uri="{02D57815-91ED-43cb-92C2-25804820EDAC}">
                        <c15:formulaRef>
                          <c15:sqref>Data!$L$60</c15:sqref>
                        </c15:formulaRef>
                      </c:ext>
                    </c:extLst>
                    <c:strCache>
                      <c:ptCount val="1"/>
                      <c:pt idx="0">
                        <c:v>Net realized gain (loss) from investments</c:v>
                      </c:pt>
                    </c:strCache>
                  </c:strRef>
                </c:tx>
                <c:spPr>
                  <a:solidFill>
                    <a:schemeClr val="accent6"/>
                  </a:solidFill>
                  <a:ln>
                    <a:noFill/>
                  </a:ln>
                  <a:effectLst/>
                </c:spPr>
                <c:invertIfNegative val="0"/>
                <c:cat>
                  <c:numRef>
                    <c:extLst>
                      <c:ext uri="{02D57815-91ED-43cb-92C2-25804820EDAC}">
                        <c15:formulaRef>
                          <c15:sqref>Data!$M$54:$P$54</c15:sqref>
                        </c15:formulaRef>
                      </c:ext>
                    </c:extLst>
                    <c:numCache>
                      <c:formatCode>m/d/yyyy</c:formatCode>
                      <c:ptCount val="4"/>
                      <c:pt idx="0">
                        <c:v>45382</c:v>
                      </c:pt>
                      <c:pt idx="1">
                        <c:v>45473</c:v>
                      </c:pt>
                      <c:pt idx="2">
                        <c:v>45565</c:v>
                      </c:pt>
                      <c:pt idx="3">
                        <c:v>45657</c:v>
                      </c:pt>
                    </c:numCache>
                  </c:numRef>
                </c:cat>
                <c:val>
                  <c:numRef>
                    <c:extLst>
                      <c:ext uri="{02D57815-91ED-43cb-92C2-25804820EDAC}">
                        <c15:formulaRef>
                          <c15:sqref>Data!$M$60:$P$60</c15:sqref>
                        </c15:formulaRef>
                      </c:ext>
                    </c:extLst>
                    <c:numCache>
                      <c:formatCode>_(* #,##0_);_(* \(#,##0\);_(* "-"??_);_(@_)</c:formatCode>
                      <c:ptCount val="4"/>
                      <c:pt idx="0">
                        <c:v>0</c:v>
                      </c:pt>
                      <c:pt idx="1">
                        <c:v>0</c:v>
                      </c:pt>
                      <c:pt idx="2">
                        <c:v>0</c:v>
                      </c:pt>
                      <c:pt idx="3">
                        <c:v>4600000</c:v>
                      </c:pt>
                    </c:numCache>
                  </c:numRef>
                </c:val>
                <c:extLst>
                  <c:ext xmlns:c16="http://schemas.microsoft.com/office/drawing/2014/chart" uri="{C3380CC4-5D6E-409C-BE32-E72D297353CC}">
                    <c16:uniqueId val="{00000005-3F83-4648-8485-95C3A226BAC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Data!$L$61</c15:sqref>
                        </c15:formulaRef>
                      </c:ext>
                    </c:extLst>
                    <c:strCache>
                      <c:ptCount val="1"/>
                      <c:pt idx="0">
                        <c:v>Net change in unrealized gains and losses on investments</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Data!$M$54:$P$54</c15:sqref>
                        </c15:formulaRef>
                      </c:ext>
                    </c:extLst>
                    <c:numCache>
                      <c:formatCode>m/d/yyyy</c:formatCode>
                      <c:ptCount val="4"/>
                      <c:pt idx="0">
                        <c:v>45382</c:v>
                      </c:pt>
                      <c:pt idx="1">
                        <c:v>45473</c:v>
                      </c:pt>
                      <c:pt idx="2">
                        <c:v>45565</c:v>
                      </c:pt>
                      <c:pt idx="3">
                        <c:v>45657</c:v>
                      </c:pt>
                    </c:numCache>
                  </c:numRef>
                </c:cat>
                <c:val>
                  <c:numRef>
                    <c:extLst xmlns:c15="http://schemas.microsoft.com/office/drawing/2012/chart">
                      <c:ext xmlns:c15="http://schemas.microsoft.com/office/drawing/2012/chart" uri="{02D57815-91ED-43cb-92C2-25804820EDAC}">
                        <c15:formulaRef>
                          <c15:sqref>Data!$M$61:$P$61</c15:sqref>
                        </c15:formulaRef>
                      </c:ext>
                    </c:extLst>
                    <c:numCache>
                      <c:formatCode>_(* #,##0_);_(* \(#,##0\);_(* "-"??_);_(@_)</c:formatCode>
                      <c:ptCount val="4"/>
                      <c:pt idx="0">
                        <c:v>0</c:v>
                      </c:pt>
                      <c:pt idx="1">
                        <c:v>0</c:v>
                      </c:pt>
                      <c:pt idx="2">
                        <c:v>0</c:v>
                      </c:pt>
                      <c:pt idx="3">
                        <c:v>1000000</c:v>
                      </c:pt>
                    </c:numCache>
                  </c:numRef>
                </c:val>
                <c:extLst xmlns:c15="http://schemas.microsoft.com/office/drawing/2012/chart">
                  <c:ext xmlns:c16="http://schemas.microsoft.com/office/drawing/2014/chart" uri="{C3380CC4-5D6E-409C-BE32-E72D297353CC}">
                    <c16:uniqueId val="{00000006-3F83-4648-8485-95C3A226BAC4}"/>
                  </c:ext>
                </c:extLst>
              </c15:ser>
            </c15:filteredBarSeries>
          </c:ext>
        </c:extLst>
      </c:barChart>
      <c:dateAx>
        <c:axId val="1104605103"/>
        <c:scaling>
          <c:orientation val="minMax"/>
        </c:scaling>
        <c:delete val="0"/>
        <c:axPos val="b"/>
        <c:numFmt formatCode="[$-409]mmmm\-yy;@" sourceLinked="0"/>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104606543"/>
        <c:crosses val="autoZero"/>
        <c:auto val="1"/>
        <c:lblOffset val="100"/>
        <c:baseTimeUnit val="months"/>
        <c:majorUnit val="3"/>
        <c:majorTimeUnit val="months"/>
      </c:dateAx>
      <c:valAx>
        <c:axId val="110460654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104605103"/>
        <c:crosses val="autoZero"/>
        <c:crossBetween val="between"/>
        <c:dispUnits>
          <c:builtInUnit val="thousands"/>
          <c:dispUnitsLbl>
            <c:spPr>
              <a:noFill/>
              <a:ln>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latin typeface="+mn-lt"/>
                <a:ea typeface="+mn-ea"/>
                <a:cs typeface="+mn-cs"/>
              </a:rPr>
              <a:t>Portfolio Cash Flow</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Data!$B$5</c:f>
              <c:strCache>
                <c:ptCount val="1"/>
                <c:pt idx="0">
                  <c:v>Laundromat</c:v>
                </c:pt>
              </c:strCache>
            </c:strRef>
          </c:tx>
          <c:spPr>
            <a:solidFill>
              <a:schemeClr val="accent1"/>
            </a:solidFill>
            <a:ln>
              <a:noFill/>
            </a:ln>
            <a:effectLst/>
          </c:spPr>
          <c:invertIfNegative val="0"/>
          <c:cat>
            <c:numRef>
              <c:f>Data!$A$13:$A$24</c:f>
              <c:numCache>
                <c:formatCode>m/d/yyyy</c:formatCode>
                <c:ptCount val="12"/>
                <c:pt idx="0">
                  <c:v>45322</c:v>
                </c:pt>
                <c:pt idx="1">
                  <c:v>45351</c:v>
                </c:pt>
                <c:pt idx="2">
                  <c:v>45382</c:v>
                </c:pt>
                <c:pt idx="3">
                  <c:v>45412</c:v>
                </c:pt>
                <c:pt idx="4">
                  <c:v>45443</c:v>
                </c:pt>
                <c:pt idx="5">
                  <c:v>45473</c:v>
                </c:pt>
                <c:pt idx="6">
                  <c:v>45504</c:v>
                </c:pt>
                <c:pt idx="7">
                  <c:v>45535</c:v>
                </c:pt>
                <c:pt idx="8">
                  <c:v>45565</c:v>
                </c:pt>
                <c:pt idx="9">
                  <c:v>45596</c:v>
                </c:pt>
                <c:pt idx="10">
                  <c:v>45626</c:v>
                </c:pt>
                <c:pt idx="11">
                  <c:v>45657</c:v>
                </c:pt>
              </c:numCache>
            </c:numRef>
          </c:cat>
          <c:val>
            <c:numRef>
              <c:f>Data!$B$13:$B$24</c:f>
              <c:numCache>
                <c:formatCode>_(* #,##0_);_(* \(#,##0\);_(* "-"??_);_(@_)</c:formatCode>
                <c:ptCount val="12"/>
                <c:pt idx="0">
                  <c:v>-800000</c:v>
                </c:pt>
                <c:pt idx="1">
                  <c:v>18333.333333333332</c:v>
                </c:pt>
                <c:pt idx="2">
                  <c:v>18333.333333333332</c:v>
                </c:pt>
                <c:pt idx="3">
                  <c:v>18333.333333333332</c:v>
                </c:pt>
                <c:pt idx="4">
                  <c:v>18333.333333333332</c:v>
                </c:pt>
                <c:pt idx="5">
                  <c:v>18333.333333333332</c:v>
                </c:pt>
                <c:pt idx="6">
                  <c:v>18333.333333333332</c:v>
                </c:pt>
                <c:pt idx="7">
                  <c:v>18333.333333333332</c:v>
                </c:pt>
                <c:pt idx="8">
                  <c:v>18333.333333333332</c:v>
                </c:pt>
                <c:pt idx="9">
                  <c:v>18333.333333333332</c:v>
                </c:pt>
                <c:pt idx="10">
                  <c:v>18333.333333333332</c:v>
                </c:pt>
                <c:pt idx="11">
                  <c:v>18333.333333333332</c:v>
                </c:pt>
              </c:numCache>
            </c:numRef>
          </c:val>
          <c:extLst>
            <c:ext xmlns:c16="http://schemas.microsoft.com/office/drawing/2014/chart" uri="{C3380CC4-5D6E-409C-BE32-E72D297353CC}">
              <c16:uniqueId val="{00000006-B277-4596-AC31-6955FC6809E1}"/>
            </c:ext>
          </c:extLst>
        </c:ser>
        <c:ser>
          <c:idx val="1"/>
          <c:order val="1"/>
          <c:tx>
            <c:strRef>
              <c:f>Data!$C$5</c:f>
              <c:strCache>
                <c:ptCount val="1"/>
                <c:pt idx="0">
                  <c:v>AI Tech</c:v>
                </c:pt>
              </c:strCache>
            </c:strRef>
          </c:tx>
          <c:spPr>
            <a:solidFill>
              <a:schemeClr val="accent2"/>
            </a:solidFill>
            <a:ln>
              <a:noFill/>
            </a:ln>
            <a:effectLst/>
          </c:spPr>
          <c:invertIfNegative val="0"/>
          <c:cat>
            <c:numRef>
              <c:f>Data!$A$13:$A$24</c:f>
              <c:numCache>
                <c:formatCode>m/d/yyyy</c:formatCode>
                <c:ptCount val="12"/>
                <c:pt idx="0">
                  <c:v>45322</c:v>
                </c:pt>
                <c:pt idx="1">
                  <c:v>45351</c:v>
                </c:pt>
                <c:pt idx="2">
                  <c:v>45382</c:v>
                </c:pt>
                <c:pt idx="3">
                  <c:v>45412</c:v>
                </c:pt>
                <c:pt idx="4">
                  <c:v>45443</c:v>
                </c:pt>
                <c:pt idx="5">
                  <c:v>45473</c:v>
                </c:pt>
                <c:pt idx="6">
                  <c:v>45504</c:v>
                </c:pt>
                <c:pt idx="7">
                  <c:v>45535</c:v>
                </c:pt>
                <c:pt idx="8">
                  <c:v>45565</c:v>
                </c:pt>
                <c:pt idx="9">
                  <c:v>45596</c:v>
                </c:pt>
                <c:pt idx="10">
                  <c:v>45626</c:v>
                </c:pt>
                <c:pt idx="11">
                  <c:v>45657</c:v>
                </c:pt>
              </c:numCache>
            </c:numRef>
          </c:cat>
          <c:val>
            <c:numRef>
              <c:f>Data!$C$13:$C$24</c:f>
              <c:numCache>
                <c:formatCode>_(* #,##0_);_(* \(#,##0\);_(* "-"??_);_(@_)</c:formatCode>
                <c:ptCount val="12"/>
                <c:pt idx="0">
                  <c:v>-4600000</c:v>
                </c:pt>
                <c:pt idx="1">
                  <c:v>0</c:v>
                </c:pt>
                <c:pt idx="2">
                  <c:v>0</c:v>
                </c:pt>
                <c:pt idx="3">
                  <c:v>0</c:v>
                </c:pt>
                <c:pt idx="4">
                  <c:v>0</c:v>
                </c:pt>
                <c:pt idx="5">
                  <c:v>0</c:v>
                </c:pt>
                <c:pt idx="6">
                  <c:v>0</c:v>
                </c:pt>
                <c:pt idx="7">
                  <c:v>0</c:v>
                </c:pt>
                <c:pt idx="8">
                  <c:v>0</c:v>
                </c:pt>
                <c:pt idx="9">
                  <c:v>0</c:v>
                </c:pt>
                <c:pt idx="10">
                  <c:v>9200000</c:v>
                </c:pt>
                <c:pt idx="11">
                  <c:v>0</c:v>
                </c:pt>
              </c:numCache>
            </c:numRef>
          </c:val>
          <c:extLst>
            <c:ext xmlns:c16="http://schemas.microsoft.com/office/drawing/2014/chart" uri="{C3380CC4-5D6E-409C-BE32-E72D297353CC}">
              <c16:uniqueId val="{00000007-B277-4596-AC31-6955FC6809E1}"/>
            </c:ext>
          </c:extLst>
        </c:ser>
        <c:ser>
          <c:idx val="2"/>
          <c:order val="2"/>
          <c:tx>
            <c:strRef>
              <c:f>Data!$D$5</c:f>
              <c:strCache>
                <c:ptCount val="1"/>
                <c:pt idx="0">
                  <c:v>E-commerce Equity</c:v>
                </c:pt>
              </c:strCache>
            </c:strRef>
          </c:tx>
          <c:spPr>
            <a:solidFill>
              <a:schemeClr val="accent3"/>
            </a:solidFill>
            <a:ln>
              <a:noFill/>
            </a:ln>
            <a:effectLst/>
          </c:spPr>
          <c:invertIfNegative val="0"/>
          <c:cat>
            <c:numRef>
              <c:f>Data!$A$13:$A$24</c:f>
              <c:numCache>
                <c:formatCode>m/d/yyyy</c:formatCode>
                <c:ptCount val="12"/>
                <c:pt idx="0">
                  <c:v>45322</c:v>
                </c:pt>
                <c:pt idx="1">
                  <c:v>45351</c:v>
                </c:pt>
                <c:pt idx="2">
                  <c:v>45382</c:v>
                </c:pt>
                <c:pt idx="3">
                  <c:v>45412</c:v>
                </c:pt>
                <c:pt idx="4">
                  <c:v>45443</c:v>
                </c:pt>
                <c:pt idx="5">
                  <c:v>45473</c:v>
                </c:pt>
                <c:pt idx="6">
                  <c:v>45504</c:v>
                </c:pt>
                <c:pt idx="7">
                  <c:v>45535</c:v>
                </c:pt>
                <c:pt idx="8">
                  <c:v>45565</c:v>
                </c:pt>
                <c:pt idx="9">
                  <c:v>45596</c:v>
                </c:pt>
                <c:pt idx="10">
                  <c:v>45626</c:v>
                </c:pt>
                <c:pt idx="11">
                  <c:v>45657</c:v>
                </c:pt>
              </c:numCache>
            </c:numRef>
          </c:cat>
          <c:val>
            <c:numRef>
              <c:f>Data!$D$13:$D$24</c:f>
              <c:numCache>
                <c:formatCode>_(* #,##0_);_(* \(#,##0\);_(* "-"??_);_(@_)</c:formatCode>
                <c:ptCount val="12"/>
                <c:pt idx="4">
                  <c:v>-4000000</c:v>
                </c:pt>
                <c:pt idx="5">
                  <c:v>25000</c:v>
                </c:pt>
                <c:pt idx="6">
                  <c:v>25000</c:v>
                </c:pt>
                <c:pt idx="7">
                  <c:v>25000</c:v>
                </c:pt>
                <c:pt idx="8">
                  <c:v>25000</c:v>
                </c:pt>
                <c:pt idx="9">
                  <c:v>25000</c:v>
                </c:pt>
                <c:pt idx="10">
                  <c:v>25000</c:v>
                </c:pt>
                <c:pt idx="11">
                  <c:v>25000</c:v>
                </c:pt>
              </c:numCache>
            </c:numRef>
          </c:val>
          <c:extLst>
            <c:ext xmlns:c16="http://schemas.microsoft.com/office/drawing/2014/chart" uri="{C3380CC4-5D6E-409C-BE32-E72D297353CC}">
              <c16:uniqueId val="{00000008-B277-4596-AC31-6955FC6809E1}"/>
            </c:ext>
          </c:extLst>
        </c:ser>
        <c:ser>
          <c:idx val="3"/>
          <c:order val="3"/>
          <c:tx>
            <c:strRef>
              <c:f>Data!$E$5</c:f>
              <c:strCache>
                <c:ptCount val="1"/>
                <c:pt idx="0">
                  <c:v>E-commerce Loan</c:v>
                </c:pt>
              </c:strCache>
            </c:strRef>
          </c:tx>
          <c:spPr>
            <a:solidFill>
              <a:schemeClr val="accent4"/>
            </a:solidFill>
            <a:ln>
              <a:noFill/>
            </a:ln>
            <a:effectLst/>
          </c:spPr>
          <c:invertIfNegative val="0"/>
          <c:cat>
            <c:numRef>
              <c:f>Data!$A$13:$A$24</c:f>
              <c:numCache>
                <c:formatCode>m/d/yyyy</c:formatCode>
                <c:ptCount val="12"/>
                <c:pt idx="0">
                  <c:v>45322</c:v>
                </c:pt>
                <c:pt idx="1">
                  <c:v>45351</c:v>
                </c:pt>
                <c:pt idx="2">
                  <c:v>45382</c:v>
                </c:pt>
                <c:pt idx="3">
                  <c:v>45412</c:v>
                </c:pt>
                <c:pt idx="4">
                  <c:v>45443</c:v>
                </c:pt>
                <c:pt idx="5">
                  <c:v>45473</c:v>
                </c:pt>
                <c:pt idx="6">
                  <c:v>45504</c:v>
                </c:pt>
                <c:pt idx="7">
                  <c:v>45535</c:v>
                </c:pt>
                <c:pt idx="8">
                  <c:v>45565</c:v>
                </c:pt>
                <c:pt idx="9">
                  <c:v>45596</c:v>
                </c:pt>
                <c:pt idx="10">
                  <c:v>45626</c:v>
                </c:pt>
                <c:pt idx="11">
                  <c:v>45657</c:v>
                </c:pt>
              </c:numCache>
            </c:numRef>
          </c:cat>
          <c:val>
            <c:numRef>
              <c:f>Data!$E$13:$E$24</c:f>
              <c:numCache>
                <c:formatCode>_(* #,##0_);_(* \(#,##0\);_(* "-"??_);_(@_)</c:formatCode>
                <c:ptCount val="12"/>
                <c:pt idx="0">
                  <c:v>0</c:v>
                </c:pt>
                <c:pt idx="1">
                  <c:v>0</c:v>
                </c:pt>
                <c:pt idx="2">
                  <c:v>0</c:v>
                </c:pt>
                <c:pt idx="3">
                  <c:v>0</c:v>
                </c:pt>
                <c:pt idx="4">
                  <c:v>-2000000</c:v>
                </c:pt>
                <c:pt idx="5">
                  <c:v>62672.730922861701</c:v>
                </c:pt>
                <c:pt idx="6">
                  <c:v>62672.730922861701</c:v>
                </c:pt>
                <c:pt idx="7">
                  <c:v>62672.730922861701</c:v>
                </c:pt>
                <c:pt idx="8">
                  <c:v>62672.730922861701</c:v>
                </c:pt>
                <c:pt idx="9">
                  <c:v>62672.730922861701</c:v>
                </c:pt>
                <c:pt idx="10">
                  <c:v>62672.730922861701</c:v>
                </c:pt>
                <c:pt idx="11">
                  <c:v>62672.730922861701</c:v>
                </c:pt>
              </c:numCache>
            </c:numRef>
          </c:val>
          <c:extLst>
            <c:ext xmlns:c16="http://schemas.microsoft.com/office/drawing/2014/chart" uri="{C3380CC4-5D6E-409C-BE32-E72D297353CC}">
              <c16:uniqueId val="{00000009-B277-4596-AC31-6955FC6809E1}"/>
            </c:ext>
          </c:extLst>
        </c:ser>
        <c:ser>
          <c:idx val="4"/>
          <c:order val="4"/>
          <c:tx>
            <c:strRef>
              <c:f>Data!$F$5</c:f>
              <c:strCache>
                <c:ptCount val="1"/>
                <c:pt idx="0">
                  <c:v>Apartment Complex Loan</c:v>
                </c:pt>
              </c:strCache>
            </c:strRef>
          </c:tx>
          <c:spPr>
            <a:solidFill>
              <a:schemeClr val="accent5"/>
            </a:solidFill>
            <a:ln>
              <a:noFill/>
            </a:ln>
            <a:effectLst/>
          </c:spPr>
          <c:invertIfNegative val="0"/>
          <c:cat>
            <c:numRef>
              <c:f>Data!$A$13:$A$24</c:f>
              <c:numCache>
                <c:formatCode>m/d/yyyy</c:formatCode>
                <c:ptCount val="12"/>
                <c:pt idx="0">
                  <c:v>45322</c:v>
                </c:pt>
                <c:pt idx="1">
                  <c:v>45351</c:v>
                </c:pt>
                <c:pt idx="2">
                  <c:v>45382</c:v>
                </c:pt>
                <c:pt idx="3">
                  <c:v>45412</c:v>
                </c:pt>
                <c:pt idx="4">
                  <c:v>45443</c:v>
                </c:pt>
                <c:pt idx="5">
                  <c:v>45473</c:v>
                </c:pt>
                <c:pt idx="6">
                  <c:v>45504</c:v>
                </c:pt>
                <c:pt idx="7">
                  <c:v>45535</c:v>
                </c:pt>
                <c:pt idx="8">
                  <c:v>45565</c:v>
                </c:pt>
                <c:pt idx="9">
                  <c:v>45596</c:v>
                </c:pt>
                <c:pt idx="10">
                  <c:v>45626</c:v>
                </c:pt>
                <c:pt idx="11">
                  <c:v>45657</c:v>
                </c:pt>
              </c:numCache>
            </c:numRef>
          </c:cat>
          <c:val>
            <c:numRef>
              <c:f>Data!$F$13:$F$24</c:f>
              <c:numCache>
                <c:formatCode>_(* #,##0_);_(* \(#,##0\);_(* "-"??_);_(@_)</c:formatCode>
                <c:ptCount val="12"/>
                <c:pt idx="0">
                  <c:v>0</c:v>
                </c:pt>
                <c:pt idx="1">
                  <c:v>0</c:v>
                </c:pt>
                <c:pt idx="2">
                  <c:v>0</c:v>
                </c:pt>
                <c:pt idx="3">
                  <c:v>0</c:v>
                </c:pt>
                <c:pt idx="4">
                  <c:v>-3000000</c:v>
                </c:pt>
                <c:pt idx="5">
                  <c:v>71369.790259076195</c:v>
                </c:pt>
                <c:pt idx="6">
                  <c:v>71369.790259076195</c:v>
                </c:pt>
                <c:pt idx="7">
                  <c:v>71369.790259076195</c:v>
                </c:pt>
                <c:pt idx="8">
                  <c:v>71369.790259076195</c:v>
                </c:pt>
                <c:pt idx="9">
                  <c:v>71369.790259076195</c:v>
                </c:pt>
                <c:pt idx="10">
                  <c:v>71369.790259076195</c:v>
                </c:pt>
                <c:pt idx="11">
                  <c:v>2825202.8803319968</c:v>
                </c:pt>
              </c:numCache>
            </c:numRef>
          </c:val>
          <c:extLst>
            <c:ext xmlns:c16="http://schemas.microsoft.com/office/drawing/2014/chart" uri="{C3380CC4-5D6E-409C-BE32-E72D297353CC}">
              <c16:uniqueId val="{0000000A-B277-4596-AC31-6955FC6809E1}"/>
            </c:ext>
          </c:extLst>
        </c:ser>
        <c:dLbls>
          <c:showLegendKey val="0"/>
          <c:showVal val="0"/>
          <c:showCatName val="0"/>
          <c:showSerName val="0"/>
          <c:showPercent val="0"/>
          <c:showBubbleSize val="0"/>
        </c:dLbls>
        <c:gapWidth val="0"/>
        <c:overlap val="-27"/>
        <c:axId val="99752320"/>
        <c:axId val="99739840"/>
      </c:barChart>
      <c:dateAx>
        <c:axId val="99752320"/>
        <c:scaling>
          <c:orientation val="minMax"/>
        </c:scaling>
        <c:delete val="0"/>
        <c:axPos val="b"/>
        <c:numFmt formatCode="[$-409]mmmm\-yy;@" sourceLinked="0"/>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99739840"/>
        <c:crosses val="autoZero"/>
        <c:auto val="1"/>
        <c:lblOffset val="100"/>
        <c:baseTimeUnit val="months"/>
      </c:dateAx>
      <c:valAx>
        <c:axId val="9973984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99752320"/>
        <c:crosses val="autoZero"/>
        <c:crossBetween val="between"/>
        <c:dispUnits>
          <c:builtInUnit val="millions"/>
          <c:dispUnitsLbl>
            <c:spPr>
              <a:noFill/>
              <a:ln>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lineChart>
        <c:grouping val="standard"/>
        <c:varyColors val="0"/>
        <c:ser>
          <c:idx val="0"/>
          <c:order val="0"/>
          <c:tx>
            <c:strRef>
              <c:f>Data!$M$72</c:f>
              <c:strCache>
                <c:ptCount val="1"/>
                <c:pt idx="0">
                  <c:v>AUM</c:v>
                </c:pt>
              </c:strCache>
            </c:strRef>
          </c:tx>
          <c:spPr>
            <a:ln w="28575" cap="rnd">
              <a:solidFill>
                <a:schemeClr val="accent1"/>
              </a:solidFill>
              <a:round/>
            </a:ln>
            <a:effectLst/>
          </c:spPr>
          <c:marker>
            <c:symbol val="none"/>
          </c:marker>
          <c:cat>
            <c:numRef>
              <c:f>Data!$L$73:$L$76</c:f>
              <c:numCache>
                <c:formatCode>m/d/yyyy</c:formatCode>
                <c:ptCount val="4"/>
                <c:pt idx="0">
                  <c:v>45382</c:v>
                </c:pt>
                <c:pt idx="1">
                  <c:v>45473</c:v>
                </c:pt>
                <c:pt idx="2">
                  <c:v>45565</c:v>
                </c:pt>
                <c:pt idx="3">
                  <c:v>45657</c:v>
                </c:pt>
              </c:numCache>
            </c:numRef>
          </c:cat>
          <c:val>
            <c:numRef>
              <c:f>Data!$M$73:$M$76</c:f>
              <c:numCache>
                <c:formatCode>_(* #,##0_);_(* \(#,##0\);_(* "-"??_);_(@_)</c:formatCode>
                <c:ptCount val="4"/>
                <c:pt idx="0">
                  <c:v>5400000</c:v>
                </c:pt>
                <c:pt idx="1">
                  <c:v>14316790.812151395</c:v>
                </c:pt>
                <c:pt idx="2">
                  <c:v>14062619.417594183</c:v>
                </c:pt>
                <c:pt idx="3">
                  <c:v>7447639.4373176899</c:v>
                </c:pt>
              </c:numCache>
            </c:numRef>
          </c:val>
          <c:smooth val="0"/>
          <c:extLst>
            <c:ext xmlns:c16="http://schemas.microsoft.com/office/drawing/2014/chart" uri="{C3380CC4-5D6E-409C-BE32-E72D297353CC}">
              <c16:uniqueId val="{0000000D-1C25-413E-9DD9-A754160C5F1B}"/>
            </c:ext>
          </c:extLst>
        </c:ser>
        <c:dLbls>
          <c:showLegendKey val="0"/>
          <c:showVal val="0"/>
          <c:showCatName val="0"/>
          <c:showSerName val="0"/>
          <c:showPercent val="0"/>
          <c:showBubbleSize val="0"/>
        </c:dLbls>
        <c:smooth val="0"/>
        <c:axId val="99770080"/>
        <c:axId val="99751840"/>
      </c:lineChart>
      <c:dateAx>
        <c:axId val="9977008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51840"/>
        <c:crosses val="autoZero"/>
        <c:auto val="1"/>
        <c:lblOffset val="100"/>
        <c:baseTimeUnit val="months"/>
      </c:dateAx>
      <c:valAx>
        <c:axId val="9975184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70080"/>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Investment vs Duration vs IRR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ubbleChart>
        <c:varyColors val="0"/>
        <c:ser>
          <c:idx val="0"/>
          <c:order val="0"/>
          <c:spPr>
            <a:solidFill>
              <a:schemeClr val="accent1">
                <a:alpha val="75000"/>
              </a:schemeClr>
            </a:solidFill>
            <a:ln w="25400">
              <a:noFill/>
            </a:ln>
            <a:effectLst/>
          </c:spPr>
          <c:invertIfNegative val="0"/>
          <c:dPt>
            <c:idx val="0"/>
            <c:invertIfNegative val="0"/>
            <c:bubble3D val="0"/>
            <c:spPr>
              <a:solidFill>
                <a:srgbClr val="7030A0"/>
              </a:solidFill>
              <a:ln w="25400">
                <a:noFill/>
              </a:ln>
              <a:effectLst/>
            </c:spPr>
            <c:extLst>
              <c:ext xmlns:c16="http://schemas.microsoft.com/office/drawing/2014/chart" uri="{C3380CC4-5D6E-409C-BE32-E72D297353CC}">
                <c16:uniqueId val="{00000000-4409-4004-9941-68FCB789122C}"/>
              </c:ext>
            </c:extLst>
          </c:dPt>
          <c:dPt>
            <c:idx val="1"/>
            <c:invertIfNegative val="0"/>
            <c:bubble3D val="0"/>
            <c:spPr>
              <a:solidFill>
                <a:schemeClr val="accent2">
                  <a:lumMod val="40000"/>
                  <a:lumOff val="60000"/>
                </a:schemeClr>
              </a:solidFill>
              <a:ln w="25400">
                <a:noFill/>
              </a:ln>
              <a:effectLst/>
            </c:spPr>
            <c:extLst>
              <c:ext xmlns:c16="http://schemas.microsoft.com/office/drawing/2014/chart" uri="{C3380CC4-5D6E-409C-BE32-E72D297353CC}">
                <c16:uniqueId val="{00000001-4409-4004-9941-68FCB789122C}"/>
              </c:ext>
            </c:extLst>
          </c:dPt>
          <c:dPt>
            <c:idx val="2"/>
            <c:invertIfNegative val="0"/>
            <c:bubble3D val="0"/>
            <c:spPr>
              <a:solidFill>
                <a:schemeClr val="accent1">
                  <a:lumMod val="40000"/>
                  <a:lumOff val="60000"/>
                  <a:alpha val="86000"/>
                </a:schemeClr>
              </a:solidFill>
              <a:ln w="25400">
                <a:noFill/>
              </a:ln>
              <a:effectLst/>
            </c:spPr>
            <c:extLst>
              <c:ext xmlns:c16="http://schemas.microsoft.com/office/drawing/2014/chart" uri="{C3380CC4-5D6E-409C-BE32-E72D297353CC}">
                <c16:uniqueId val="{00000002-4409-4004-9941-68FCB789122C}"/>
              </c:ext>
            </c:extLst>
          </c:dPt>
          <c:dPt>
            <c:idx val="3"/>
            <c:invertIfNegative val="0"/>
            <c:bubble3D val="0"/>
            <c:spPr>
              <a:solidFill>
                <a:srgbClr val="FFC000"/>
              </a:solidFill>
              <a:ln w="25400">
                <a:noFill/>
              </a:ln>
              <a:effectLst/>
            </c:spPr>
            <c:extLst>
              <c:ext xmlns:c16="http://schemas.microsoft.com/office/drawing/2014/chart" uri="{C3380CC4-5D6E-409C-BE32-E72D297353CC}">
                <c16:uniqueId val="{00000003-4409-4004-9941-68FCB789122C}"/>
              </c:ext>
            </c:extLst>
          </c:dPt>
          <c:dPt>
            <c:idx val="4"/>
            <c:invertIfNegative val="0"/>
            <c:bubble3D val="0"/>
            <c:spPr>
              <a:solidFill>
                <a:schemeClr val="accent6">
                  <a:lumMod val="40000"/>
                  <a:lumOff val="60000"/>
                </a:schemeClr>
              </a:solidFill>
              <a:ln w="25400">
                <a:noFill/>
              </a:ln>
              <a:effectLst/>
            </c:spPr>
            <c:extLst>
              <c:ext xmlns:c16="http://schemas.microsoft.com/office/drawing/2014/chart" uri="{C3380CC4-5D6E-409C-BE32-E72D297353CC}">
                <c16:uniqueId val="{00000004-4409-4004-9941-68FCB789122C}"/>
              </c:ext>
            </c:extLst>
          </c:dPt>
          <c:dLbls>
            <c:dLbl>
              <c:idx val="0"/>
              <c:layout>
                <c:manualLayout>
                  <c:x val="0"/>
                  <c:y val="-8.3675147163573646E-2"/>
                </c:manualLayout>
              </c:layout>
              <c:tx>
                <c:rich>
                  <a:bodyPr/>
                  <a:lstStyle/>
                  <a:p>
                    <a:fld id="{608E7E0C-1E9A-41AF-8229-3C1C91215D2B}" type="CELLRANGE">
                      <a:rPr lang="en-US" baseline="0"/>
                      <a:pPr/>
                      <a:t>[CELLRANGE]</a:t>
                    </a:fld>
                    <a:r>
                      <a:rPr lang="en-US" baseline="0"/>
                      <a:t>, </a:t>
                    </a:r>
                    <a:fld id="{A77881BB-ACE7-43CF-897D-42705CC19AA3}" type="BUBBLESIZE">
                      <a:rPr lang="en-US" baseline="0"/>
                      <a:pPr/>
                      <a:t>[BUBBLE SIZE]</a:t>
                    </a:fld>
                    <a:endParaRPr lang="en-US" baseline="0"/>
                  </a:p>
                </c:rich>
              </c:tx>
              <c:showLegendKey val="0"/>
              <c:showVal val="0"/>
              <c:showCatName val="0"/>
              <c:showSerName val="0"/>
              <c:showPercent val="0"/>
              <c:showBubbleSize val="1"/>
              <c:extLst>
                <c:ext xmlns:c15="http://schemas.microsoft.com/office/drawing/2012/chart" uri="{CE6537A1-D6FC-4f65-9D91-7224C49458BB}">
                  <c15:dlblFieldTable/>
                  <c15:showDataLabelsRange val="1"/>
                </c:ext>
                <c:ext xmlns:c16="http://schemas.microsoft.com/office/drawing/2014/chart" uri="{C3380CC4-5D6E-409C-BE32-E72D297353CC}">
                  <c16:uniqueId val="{00000000-4409-4004-9941-68FCB789122C}"/>
                </c:ext>
              </c:extLst>
            </c:dLbl>
            <c:dLbl>
              <c:idx val="1"/>
              <c:tx>
                <c:rich>
                  <a:bodyPr/>
                  <a:lstStyle/>
                  <a:p>
                    <a:fld id="{6B981427-48E8-412D-BCCB-D3F577F1B201}" type="CELLRANGE">
                      <a:rPr lang="en-US"/>
                      <a:pPr/>
                      <a:t>[CELLRANGE]</a:t>
                    </a:fld>
                    <a:r>
                      <a:rPr lang="en-US" baseline="0"/>
                      <a:t>, </a:t>
                    </a:r>
                    <a:fld id="{6DC9216E-54C6-445C-A23A-D681011A564B}" type="BUBBLESIZE">
                      <a:rPr lang="en-US" baseline="0"/>
                      <a:pPr/>
                      <a:t>[BUBBLE SIZE]</a:t>
                    </a:fld>
                    <a:endParaRPr lang="en-US" baseline="0"/>
                  </a:p>
                </c:rich>
              </c:tx>
              <c:showLegendKey val="0"/>
              <c:showVal val="0"/>
              <c:showCatName val="0"/>
              <c:showSerName val="0"/>
              <c:showPercent val="0"/>
              <c:showBubbleSize val="1"/>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4409-4004-9941-68FCB789122C}"/>
                </c:ext>
              </c:extLst>
            </c:dLbl>
            <c:dLbl>
              <c:idx val="2"/>
              <c:layout>
                <c:manualLayout>
                  <c:x val="-0.19722222222222222"/>
                  <c:y val="-0.19059339076147311"/>
                </c:manualLayout>
              </c:layout>
              <c:tx>
                <c:rich>
                  <a:bodyPr/>
                  <a:lstStyle/>
                  <a:p>
                    <a:fld id="{1F7A86D9-58F8-4329-9E51-563C1AB4B576}" type="CELLRANGE">
                      <a:rPr lang="en-US" baseline="0"/>
                      <a:pPr/>
                      <a:t>[CELLRANGE]</a:t>
                    </a:fld>
                    <a:r>
                      <a:rPr lang="en-US" baseline="0"/>
                      <a:t>, </a:t>
                    </a:r>
                    <a:fld id="{6CB9AD0D-23CD-4CDC-B580-7DBA231BCD11}" type="BUBBLESIZE">
                      <a:rPr lang="en-US" baseline="0"/>
                      <a:pPr/>
                      <a:t>[BUBBLE SIZE]</a:t>
                    </a:fld>
                    <a:endParaRPr lang="en-US" baseline="0"/>
                  </a:p>
                </c:rich>
              </c:tx>
              <c:showLegendKey val="0"/>
              <c:showVal val="0"/>
              <c:showCatName val="0"/>
              <c:showSerName val="0"/>
              <c:showPercent val="0"/>
              <c:showBubbleSize val="1"/>
              <c:extLst>
                <c:ext xmlns:c15="http://schemas.microsoft.com/office/drawing/2012/chart" uri="{CE6537A1-D6FC-4f65-9D91-7224C49458BB}">
                  <c15:dlblFieldTable/>
                  <c15:showDataLabelsRange val="1"/>
                </c:ext>
                <c:ext xmlns:c16="http://schemas.microsoft.com/office/drawing/2014/chart" uri="{C3380CC4-5D6E-409C-BE32-E72D297353CC}">
                  <c16:uniqueId val="{00000002-4409-4004-9941-68FCB789122C}"/>
                </c:ext>
              </c:extLst>
            </c:dLbl>
            <c:dLbl>
              <c:idx val="3"/>
              <c:layout>
                <c:manualLayout>
                  <c:x val="-2.6620370370370471E-2"/>
                  <c:y val="-7.3099415204678359E-3"/>
                </c:manualLayout>
              </c:layout>
              <c:tx>
                <c:rich>
                  <a:bodyPr/>
                  <a:lstStyle/>
                  <a:p>
                    <a:fld id="{38986EFC-E059-461E-ADEC-765CE588EB45}" type="CELLRANGE">
                      <a:rPr lang="en-US" baseline="0"/>
                      <a:pPr/>
                      <a:t>[CELLRANGE]</a:t>
                    </a:fld>
                    <a:r>
                      <a:rPr lang="en-US" baseline="0"/>
                      <a:t>, </a:t>
                    </a:r>
                    <a:fld id="{6019739B-4B6E-4D70-8A98-2CA20051CF20}" type="BUBBLESIZE">
                      <a:rPr lang="en-US" baseline="0"/>
                      <a:pPr/>
                      <a:t>[BUBBLE SIZE]</a:t>
                    </a:fld>
                    <a:endParaRPr lang="en-US" baseline="0"/>
                  </a:p>
                </c:rich>
              </c:tx>
              <c:showLegendKey val="0"/>
              <c:showVal val="0"/>
              <c:showCatName val="0"/>
              <c:showSerName val="0"/>
              <c:showPercent val="0"/>
              <c:showBubbleSize val="1"/>
              <c:extLst>
                <c:ext xmlns:c15="http://schemas.microsoft.com/office/drawing/2012/chart" uri="{CE6537A1-D6FC-4f65-9D91-7224C49458BB}">
                  <c15:layout>
                    <c:manualLayout>
                      <c:w val="0.1639699985418489"/>
                      <c:h val="9.1264619883040937E-2"/>
                    </c:manualLayout>
                  </c15:layout>
                  <c15:dlblFieldTable/>
                  <c15:showDataLabelsRange val="1"/>
                </c:ext>
                <c:ext xmlns:c16="http://schemas.microsoft.com/office/drawing/2014/chart" uri="{C3380CC4-5D6E-409C-BE32-E72D297353CC}">
                  <c16:uniqueId val="{00000003-4409-4004-9941-68FCB789122C}"/>
                </c:ext>
              </c:extLst>
            </c:dLbl>
            <c:dLbl>
              <c:idx val="4"/>
              <c:tx>
                <c:rich>
                  <a:bodyPr/>
                  <a:lstStyle/>
                  <a:p>
                    <a:fld id="{02AD99F4-27A4-443E-9401-DE62DCFAA1C2}" type="CELLRANGE">
                      <a:rPr lang="en-US"/>
                      <a:pPr/>
                      <a:t>[CELLRANGE]</a:t>
                    </a:fld>
                    <a:r>
                      <a:rPr lang="en-US" baseline="0"/>
                      <a:t>, </a:t>
                    </a:r>
                    <a:fld id="{ED99442F-1F62-4E88-A894-0FB3B930A0C2}" type="BUBBLESIZE">
                      <a:rPr lang="en-US" baseline="0"/>
                      <a:pPr/>
                      <a:t>[BUBBLE SIZE]</a:t>
                    </a:fld>
                    <a:endParaRPr lang="en-US" baseline="0"/>
                  </a:p>
                </c:rich>
              </c:tx>
              <c:showLegendKey val="0"/>
              <c:showVal val="0"/>
              <c:showCatName val="0"/>
              <c:showSerName val="0"/>
              <c:showPercent val="0"/>
              <c:showBubbleSize val="1"/>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4409-4004-9941-68FCB789122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1"/>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Data!$M$80:$Q$80</c:f>
              <c:numCache>
                <c:formatCode>General</c:formatCode>
                <c:ptCount val="5"/>
                <c:pt idx="0">
                  <c:v>59</c:v>
                </c:pt>
                <c:pt idx="1">
                  <c:v>10</c:v>
                </c:pt>
                <c:pt idx="2">
                  <c:v>55</c:v>
                </c:pt>
                <c:pt idx="3">
                  <c:v>36</c:v>
                </c:pt>
                <c:pt idx="4">
                  <c:v>7</c:v>
                </c:pt>
              </c:numCache>
            </c:numRef>
          </c:xVal>
          <c:yVal>
            <c:numRef>
              <c:f>Data!$M$81:$Q$81</c:f>
              <c:numCache>
                <c:formatCode>0.00%</c:formatCode>
                <c:ptCount val="5"/>
                <c:pt idx="0">
                  <c:v>0.35580078959465045</c:v>
                </c:pt>
                <c:pt idx="1">
                  <c:v>1.2984445929527286</c:v>
                </c:pt>
                <c:pt idx="2">
                  <c:v>0.33000189661979673</c:v>
                </c:pt>
                <c:pt idx="3">
                  <c:v>8.2952502369880707E-2</c:v>
                </c:pt>
                <c:pt idx="4">
                  <c:v>0.15989870429039008</c:v>
                </c:pt>
              </c:numCache>
            </c:numRef>
          </c:yVal>
          <c:bubbleSize>
            <c:numRef>
              <c:f>Data!$M$82:$Q$82</c:f>
              <c:numCache>
                <c:formatCode>_("$"* #,##0_);_("$"* \(#,##0\);_("$"* "-"??_);_(@_)</c:formatCode>
                <c:ptCount val="5"/>
                <c:pt idx="0">
                  <c:v>800000</c:v>
                </c:pt>
                <c:pt idx="1">
                  <c:v>4600000</c:v>
                </c:pt>
                <c:pt idx="2">
                  <c:v>4000000</c:v>
                </c:pt>
                <c:pt idx="3">
                  <c:v>2000000</c:v>
                </c:pt>
                <c:pt idx="4">
                  <c:v>3000000</c:v>
                </c:pt>
              </c:numCache>
            </c:numRef>
          </c:bubbleSize>
          <c:bubble3D val="0"/>
          <c:extLst>
            <c:ext xmlns:c15="http://schemas.microsoft.com/office/drawing/2012/chart" uri="{02D57815-91ED-43cb-92C2-25804820EDAC}">
              <c15:datalabelsRange>
                <c15:f>Data!$M$79:$Q$79</c15:f>
                <c15:dlblRangeCache>
                  <c:ptCount val="5"/>
                  <c:pt idx="0">
                    <c:v>Laundromat</c:v>
                  </c:pt>
                  <c:pt idx="1">
                    <c:v>AI Tech</c:v>
                  </c:pt>
                  <c:pt idx="2">
                    <c:v>E-commerce Equity</c:v>
                  </c:pt>
                  <c:pt idx="3">
                    <c:v>E-commerce Loan</c:v>
                  </c:pt>
                  <c:pt idx="4">
                    <c:v>Apartment Complex Loan</c:v>
                  </c:pt>
                </c15:dlblRangeCache>
              </c15:datalabelsRange>
            </c:ext>
            <c:ext xmlns:c16="http://schemas.microsoft.com/office/drawing/2014/chart" uri="{C3380CC4-5D6E-409C-BE32-E72D297353CC}">
              <c16:uniqueId val="{00000005-4409-4004-9941-68FCB789122C}"/>
            </c:ext>
          </c:extLst>
        </c:ser>
        <c:dLbls>
          <c:showLegendKey val="0"/>
          <c:showVal val="0"/>
          <c:showCatName val="0"/>
          <c:showSerName val="0"/>
          <c:showPercent val="0"/>
          <c:showBubbleSize val="0"/>
        </c:dLbls>
        <c:bubbleScale val="100"/>
        <c:showNegBubbles val="0"/>
        <c:axId val="1590081935"/>
        <c:axId val="1590082415"/>
      </c:bubbleChart>
      <c:valAx>
        <c:axId val="15900819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0082415"/>
        <c:crosses val="autoZero"/>
        <c:crossBetween val="midCat"/>
      </c:valAx>
      <c:valAx>
        <c:axId val="159008241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00819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latin typeface="+mn-lt"/>
                <a:ea typeface="+mn-ea"/>
                <a:cs typeface="+mn-cs"/>
              </a:rPr>
              <a:t>Balance Sheet and AUM</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Data!$M$12</c:f>
              <c:strCache>
                <c:ptCount val="1"/>
                <c:pt idx="0">
                  <c:v>Total Assets</c:v>
                </c:pt>
              </c:strCache>
            </c:strRef>
          </c:tx>
          <c:spPr>
            <a:solidFill>
              <a:schemeClr val="accent1"/>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Data!$M$13:$M$16</c:f>
              <c:numCache>
                <c:formatCode>_(* #,##0_);_(* \(#,##0\);_(* "-"??_);_(@_)</c:formatCode>
                <c:ptCount val="4"/>
                <c:pt idx="0">
                  <c:v>5468916.666666667</c:v>
                </c:pt>
                <c:pt idx="1">
                  <c:v>14890333.333333332</c:v>
                </c:pt>
                <c:pt idx="2">
                  <c:v>15025539.502321934</c:v>
                </c:pt>
                <c:pt idx="3">
                  <c:v>10639937.085591255</c:v>
                </c:pt>
              </c:numCache>
            </c:numRef>
          </c:val>
          <c:extLst>
            <c:ext xmlns:c16="http://schemas.microsoft.com/office/drawing/2014/chart" uri="{C3380CC4-5D6E-409C-BE32-E72D297353CC}">
              <c16:uniqueId val="{00000000-8BFE-48AF-A44C-1A42DDBA97CF}"/>
            </c:ext>
          </c:extLst>
        </c:ser>
        <c:ser>
          <c:idx val="1"/>
          <c:order val="1"/>
          <c:tx>
            <c:strRef>
              <c:f>Data!$N$12</c:f>
              <c:strCache>
                <c:ptCount val="1"/>
                <c:pt idx="0">
                  <c:v>Total Liabilities</c:v>
                </c:pt>
              </c:strCache>
            </c:strRef>
          </c:tx>
          <c:spPr>
            <a:solidFill>
              <a:schemeClr val="accent2"/>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Data!$N$13:$N$16</c:f>
              <c:numCache>
                <c:formatCode>_(* #,##0_);_(* \(#,##0\);_(* "-"??_);_(@_)</c:formatCode>
                <c:ptCount val="4"/>
                <c:pt idx="0">
                  <c:v>15000</c:v>
                </c:pt>
                <c:pt idx="1">
                  <c:v>30000</c:v>
                </c:pt>
                <c:pt idx="2">
                  <c:v>45000</c:v>
                </c:pt>
                <c:pt idx="3">
                  <c:v>60000</c:v>
                </c:pt>
              </c:numCache>
            </c:numRef>
          </c:val>
          <c:extLst>
            <c:ext xmlns:c16="http://schemas.microsoft.com/office/drawing/2014/chart" uri="{C3380CC4-5D6E-409C-BE32-E72D297353CC}">
              <c16:uniqueId val="{00000001-8BFE-48AF-A44C-1A42DDBA97CF}"/>
            </c:ext>
          </c:extLst>
        </c:ser>
        <c:ser>
          <c:idx val="2"/>
          <c:order val="2"/>
          <c:tx>
            <c:strRef>
              <c:f>Data!$O$12</c:f>
              <c:strCache>
                <c:ptCount val="1"/>
                <c:pt idx="0">
                  <c:v>Ending Partners's Capital</c:v>
                </c:pt>
              </c:strCache>
            </c:strRef>
          </c:tx>
          <c:spPr>
            <a:solidFill>
              <a:schemeClr val="accent3"/>
            </a:solidFill>
            <a:ln>
              <a:noFill/>
            </a:ln>
            <a:effectLst/>
          </c:spPr>
          <c:invertIfNegative val="0"/>
          <c:cat>
            <c:numRef>
              <c:f>Data!$L$13:$L$16</c:f>
              <c:numCache>
                <c:formatCode>m/d/yyyy</c:formatCode>
                <c:ptCount val="4"/>
                <c:pt idx="0">
                  <c:v>45382</c:v>
                </c:pt>
                <c:pt idx="1">
                  <c:v>45473</c:v>
                </c:pt>
                <c:pt idx="2">
                  <c:v>45565</c:v>
                </c:pt>
                <c:pt idx="3">
                  <c:v>45657</c:v>
                </c:pt>
              </c:numCache>
            </c:numRef>
          </c:cat>
          <c:val>
            <c:numRef>
              <c:f>Data!$O$13:$O$16</c:f>
              <c:numCache>
                <c:formatCode>_(* #,##0_);_(* \(#,##0\);_(* "-"??_);_(@_)</c:formatCode>
                <c:ptCount val="4"/>
                <c:pt idx="0">
                  <c:v>5453916.666666667</c:v>
                </c:pt>
                <c:pt idx="1">
                  <c:v>14860333.333333334</c:v>
                </c:pt>
                <c:pt idx="2">
                  <c:v>14980539.502321934</c:v>
                </c:pt>
                <c:pt idx="3">
                  <c:v>10579937.085591255</c:v>
                </c:pt>
              </c:numCache>
            </c:numRef>
          </c:val>
          <c:extLst>
            <c:ext xmlns:c16="http://schemas.microsoft.com/office/drawing/2014/chart" uri="{C3380CC4-5D6E-409C-BE32-E72D297353CC}">
              <c16:uniqueId val="{00000002-8BFE-48AF-A44C-1A42DDBA97CF}"/>
            </c:ext>
          </c:extLst>
        </c:ser>
        <c:dLbls>
          <c:showLegendKey val="0"/>
          <c:showVal val="0"/>
          <c:showCatName val="0"/>
          <c:showSerName val="0"/>
          <c:showPercent val="0"/>
          <c:showBubbleSize val="0"/>
        </c:dLbls>
        <c:gapWidth val="0"/>
        <c:axId val="551100880"/>
        <c:axId val="551095120"/>
      </c:barChart>
      <c:lineChart>
        <c:grouping val="standard"/>
        <c:varyColors val="0"/>
        <c:ser>
          <c:idx val="3"/>
          <c:order val="3"/>
          <c:tx>
            <c:strRef>
              <c:f>Data!$P$12</c:f>
              <c:strCache>
                <c:ptCount val="1"/>
                <c:pt idx="0">
                  <c:v>AUM</c:v>
                </c:pt>
              </c:strCache>
            </c:strRef>
          </c:tx>
          <c:spPr>
            <a:ln w="28575" cap="rnd">
              <a:solidFill>
                <a:schemeClr val="accent4"/>
              </a:solidFill>
              <a:round/>
            </a:ln>
            <a:effectLst/>
          </c:spPr>
          <c:marker>
            <c:symbol val="none"/>
          </c:marker>
          <c:cat>
            <c:numRef>
              <c:f>Data!$L$13:$L$16</c:f>
              <c:numCache>
                <c:formatCode>m/d/yyyy</c:formatCode>
                <c:ptCount val="4"/>
                <c:pt idx="0">
                  <c:v>45382</c:v>
                </c:pt>
                <c:pt idx="1">
                  <c:v>45473</c:v>
                </c:pt>
                <c:pt idx="2">
                  <c:v>45565</c:v>
                </c:pt>
                <c:pt idx="3">
                  <c:v>45657</c:v>
                </c:pt>
              </c:numCache>
            </c:numRef>
          </c:cat>
          <c:val>
            <c:numRef>
              <c:f>Data!$P$13:$P$16</c:f>
              <c:numCache>
                <c:formatCode>_(* #,##0_);_(* \(#,##0\);_(* "-"??_);_(@_)</c:formatCode>
                <c:ptCount val="4"/>
                <c:pt idx="0">
                  <c:v>5400000</c:v>
                </c:pt>
                <c:pt idx="1">
                  <c:v>14316790.812151395</c:v>
                </c:pt>
                <c:pt idx="2">
                  <c:v>14062619.417594183</c:v>
                </c:pt>
                <c:pt idx="3">
                  <c:v>7447639.4373176899</c:v>
                </c:pt>
              </c:numCache>
            </c:numRef>
          </c:val>
          <c:smooth val="0"/>
          <c:extLst>
            <c:ext xmlns:c16="http://schemas.microsoft.com/office/drawing/2014/chart" uri="{C3380CC4-5D6E-409C-BE32-E72D297353CC}">
              <c16:uniqueId val="{00000003-8BFE-48AF-A44C-1A42DDBA97CF}"/>
            </c:ext>
          </c:extLst>
        </c:ser>
        <c:dLbls>
          <c:showLegendKey val="0"/>
          <c:showVal val="0"/>
          <c:showCatName val="0"/>
          <c:showSerName val="0"/>
          <c:showPercent val="0"/>
          <c:showBubbleSize val="0"/>
        </c:dLbls>
        <c:marker val="1"/>
        <c:smooth val="0"/>
        <c:axId val="551100880"/>
        <c:axId val="551095120"/>
      </c:lineChart>
      <c:dateAx>
        <c:axId val="551100880"/>
        <c:scaling>
          <c:orientation val="minMax"/>
          <c:max val="45657"/>
        </c:scaling>
        <c:delete val="0"/>
        <c:axPos val="b"/>
        <c:numFmt formatCode="[$-409]mmmm\-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095120"/>
        <c:crosses val="autoZero"/>
        <c:auto val="0"/>
        <c:lblOffset val="100"/>
        <c:baseTimeUnit val="months"/>
        <c:majorUnit val="3"/>
        <c:majorTimeUnit val="months"/>
        <c:minorUnit val="3"/>
        <c:minorTimeUnit val="months"/>
      </c:dateAx>
      <c:valAx>
        <c:axId val="55109512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100880"/>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a:glow>
            <a:schemeClr val="accent1">
              <a:alpha val="40000"/>
            </a:schemeClr>
          </a:glow>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openxmlformats.org/officeDocument/2006/relationships/hyperlink" Target="#TOC!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hyperlink" Target="#TOC!A1"/></Relationships>
</file>

<file path=xl/drawings/_rels/drawing11.xml.rels><?xml version="1.0" encoding="UTF-8" standalone="yes"?>
<Relationships xmlns="http://schemas.openxmlformats.org/package/2006/relationships"><Relationship Id="rId1" Type="http://schemas.openxmlformats.org/officeDocument/2006/relationships/hyperlink" Target="#TOC!A1"/></Relationships>
</file>

<file path=xl/drawings/_rels/drawing12.xml.rels><?xml version="1.0" encoding="UTF-8" standalone="yes"?>
<Relationships xmlns="http://schemas.openxmlformats.org/package/2006/relationships"><Relationship Id="rId1" Type="http://schemas.openxmlformats.org/officeDocument/2006/relationships/hyperlink" Target="#TOC!A1"/></Relationships>
</file>

<file path=xl/drawings/_rels/drawing13.xml.rels><?xml version="1.0" encoding="UTF-8" standalone="yes"?>
<Relationships xmlns="http://schemas.openxmlformats.org/package/2006/relationships"><Relationship Id="rId1" Type="http://schemas.openxmlformats.org/officeDocument/2006/relationships/hyperlink" Target="#TOC!A1"/></Relationships>
</file>

<file path=xl/drawings/_rels/drawing14.xml.rels><?xml version="1.0" encoding="UTF-8" standalone="yes"?>
<Relationships xmlns="http://schemas.openxmlformats.org/package/2006/relationships"><Relationship Id="rId1" Type="http://schemas.openxmlformats.org/officeDocument/2006/relationships/hyperlink" Target="#TOC!A1"/></Relationships>
</file>

<file path=xl/drawings/_rels/drawing15.xml.rels><?xml version="1.0" encoding="UTF-8" standalone="yes"?>
<Relationships xmlns="http://schemas.openxmlformats.org/package/2006/relationships"><Relationship Id="rId1" Type="http://schemas.openxmlformats.org/officeDocument/2006/relationships/hyperlink" Target="#TOC!A1"/></Relationships>
</file>

<file path=xl/drawings/_rels/drawing16.xml.rels><?xml version="1.0" encoding="UTF-8" standalone="yes"?>
<Relationships xmlns="http://schemas.openxmlformats.org/package/2006/relationships"><Relationship Id="rId1" Type="http://schemas.openxmlformats.org/officeDocument/2006/relationships/hyperlink" Target="#TOC!A1"/></Relationships>
</file>

<file path=xl/drawings/_rels/drawing17.xml.rels><?xml version="1.0" encoding="UTF-8" standalone="yes"?>
<Relationships xmlns="http://schemas.openxmlformats.org/package/2006/relationships"><Relationship Id="rId1" Type="http://schemas.openxmlformats.org/officeDocument/2006/relationships/hyperlink" Target="#TOC!A1"/></Relationships>
</file>

<file path=xl/drawings/_rels/drawing18.xml.rels><?xml version="1.0" encoding="UTF-8" standalone="yes"?>
<Relationships xmlns="http://schemas.openxmlformats.org/package/2006/relationships"><Relationship Id="rId1" Type="http://schemas.openxmlformats.org/officeDocument/2006/relationships/hyperlink" Target="#TOC!A1"/></Relationships>
</file>

<file path=xl/drawings/_rels/drawing19.xml.rels><?xml version="1.0" encoding="UTF-8" standalone="yes"?>
<Relationships xmlns="http://schemas.openxmlformats.org/package/2006/relationships"><Relationship Id="rId1" Type="http://schemas.openxmlformats.org/officeDocument/2006/relationships/hyperlink" Target="#TOC!A1"/></Relationships>
</file>

<file path=xl/drawings/_rels/drawing2.xml.rels><?xml version="1.0" encoding="UTF-8" standalone="yes"?>
<Relationships xmlns="http://schemas.openxmlformats.org/package/2006/relationships"><Relationship Id="rId1" Type="http://schemas.openxmlformats.org/officeDocument/2006/relationships/hyperlink" Target="#TOC!A1"/></Relationships>
</file>

<file path=xl/drawings/_rels/drawing20.xml.rels><?xml version="1.0" encoding="UTF-8" standalone="yes"?>
<Relationships xmlns="http://schemas.openxmlformats.org/package/2006/relationships"><Relationship Id="rId1" Type="http://schemas.openxmlformats.org/officeDocument/2006/relationships/hyperlink" Target="#TOC!A1"/></Relationships>
</file>

<file path=xl/drawings/_rels/drawing3.xml.rels><?xml version="1.0" encoding="UTF-8" standalone="yes"?>
<Relationships xmlns="http://schemas.openxmlformats.org/package/2006/relationships"><Relationship Id="rId1" Type="http://schemas.openxmlformats.org/officeDocument/2006/relationships/hyperlink" Target="#TOC!A1"/></Relationships>
</file>

<file path=xl/drawings/_rels/drawing4.xml.rels><?xml version="1.0" encoding="UTF-8" standalone="yes"?>
<Relationships xmlns="http://schemas.openxmlformats.org/package/2006/relationships"><Relationship Id="rId1" Type="http://schemas.openxmlformats.org/officeDocument/2006/relationships/hyperlink" Target="#TOC!A1"/></Relationships>
</file>

<file path=xl/drawings/_rels/drawing5.xml.rels><?xml version="1.0" encoding="UTF-8" standalone="yes"?>
<Relationships xmlns="http://schemas.openxmlformats.org/package/2006/relationships"><Relationship Id="rId1" Type="http://schemas.openxmlformats.org/officeDocument/2006/relationships/hyperlink" Target="#TOC!A1"/></Relationships>
</file>

<file path=xl/drawings/_rels/drawing6.xml.rels><?xml version="1.0" encoding="UTF-8" standalone="yes"?>
<Relationships xmlns="http://schemas.openxmlformats.org/package/2006/relationships"><Relationship Id="rId1" Type="http://schemas.openxmlformats.org/officeDocument/2006/relationships/hyperlink" Target="#TOC!A1"/></Relationships>
</file>

<file path=xl/drawings/_rels/drawing7.xml.rels><?xml version="1.0" encoding="UTF-8" standalone="yes"?>
<Relationships xmlns="http://schemas.openxmlformats.org/package/2006/relationships"><Relationship Id="rId1" Type="http://schemas.openxmlformats.org/officeDocument/2006/relationships/hyperlink" Target="#TOC!A1"/></Relationships>
</file>

<file path=xl/drawings/_rels/drawing8.xml.rels><?xml version="1.0" encoding="UTF-8" standalone="yes"?>
<Relationships xmlns="http://schemas.openxmlformats.org/package/2006/relationships"><Relationship Id="rId1" Type="http://schemas.openxmlformats.org/officeDocument/2006/relationships/hyperlink" Target="#TOC!A1"/></Relationships>
</file>

<file path=xl/drawings/_rels/drawing9.xml.rels><?xml version="1.0" encoding="UTF-8" standalone="yes"?>
<Relationships xmlns="http://schemas.openxmlformats.org/package/2006/relationships"><Relationship Id="rId1" Type="http://schemas.openxmlformats.org/officeDocument/2006/relationships/hyperlink" Target="#TOC!A1"/></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3221</xdr:rowOff>
    </xdr:from>
    <xdr:to>
      <xdr:col>9</xdr:col>
      <xdr:colOff>0</xdr:colOff>
      <xdr:row>19</xdr:row>
      <xdr:rowOff>77516</xdr:rowOff>
    </xdr:to>
    <xdr:graphicFrame macro="">
      <xdr:nvGraphicFramePr>
        <xdr:cNvPr id="3" name="Chart 2">
          <a:extLst>
            <a:ext uri="{FF2B5EF4-FFF2-40B4-BE49-F238E27FC236}">
              <a16:creationId xmlns:a16="http://schemas.microsoft.com/office/drawing/2014/main" id="{6F25A086-FFAC-3605-191E-71533DE82B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357748</xdr:colOff>
      <xdr:row>2</xdr:row>
      <xdr:rowOff>4762</xdr:rowOff>
    </xdr:from>
    <xdr:to>
      <xdr:col>18</xdr:col>
      <xdr:colOff>157723</xdr:colOff>
      <xdr:row>19</xdr:row>
      <xdr:rowOff>79057</xdr:rowOff>
    </xdr:to>
    <xdr:graphicFrame macro="">
      <xdr:nvGraphicFramePr>
        <xdr:cNvPr id="2" name="Chart 1">
          <a:extLst>
            <a:ext uri="{FF2B5EF4-FFF2-40B4-BE49-F238E27FC236}">
              <a16:creationId xmlns:a16="http://schemas.microsoft.com/office/drawing/2014/main" id="{1D441566-F202-DAD6-BA47-DDB569F511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515470</xdr:colOff>
      <xdr:row>2</xdr:row>
      <xdr:rowOff>1680</xdr:rowOff>
    </xdr:from>
    <xdr:to>
      <xdr:col>27</xdr:col>
      <xdr:colOff>515470</xdr:colOff>
      <xdr:row>19</xdr:row>
      <xdr:rowOff>75975</xdr:rowOff>
    </xdr:to>
    <xdr:graphicFrame macro="">
      <xdr:nvGraphicFramePr>
        <xdr:cNvPr id="6" name="Chart 5">
          <a:extLst>
            <a:ext uri="{FF2B5EF4-FFF2-40B4-BE49-F238E27FC236}">
              <a16:creationId xmlns:a16="http://schemas.microsoft.com/office/drawing/2014/main" id="{E4F721E0-CBCD-470C-9B48-ED24E5765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302558</xdr:colOff>
      <xdr:row>21</xdr:row>
      <xdr:rowOff>34740</xdr:rowOff>
    </xdr:from>
    <xdr:to>
      <xdr:col>18</xdr:col>
      <xdr:colOff>102533</xdr:colOff>
      <xdr:row>38</xdr:row>
      <xdr:rowOff>109035</xdr:rowOff>
    </xdr:to>
    <xdr:graphicFrame macro="">
      <xdr:nvGraphicFramePr>
        <xdr:cNvPr id="7" name="Chart 6">
          <a:extLst>
            <a:ext uri="{FF2B5EF4-FFF2-40B4-BE49-F238E27FC236}">
              <a16:creationId xmlns:a16="http://schemas.microsoft.com/office/drawing/2014/main" id="{F114C6BF-5100-A88F-BC56-9709A24ABB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33617</xdr:colOff>
      <xdr:row>21</xdr:row>
      <xdr:rowOff>1120</xdr:rowOff>
    </xdr:from>
    <xdr:to>
      <xdr:col>9</xdr:col>
      <xdr:colOff>33617</xdr:colOff>
      <xdr:row>38</xdr:row>
      <xdr:rowOff>75415</xdr:rowOff>
    </xdr:to>
    <xdr:graphicFrame macro="">
      <xdr:nvGraphicFramePr>
        <xdr:cNvPr id="8" name="Chart 7">
          <a:extLst>
            <a:ext uri="{FF2B5EF4-FFF2-40B4-BE49-F238E27FC236}">
              <a16:creationId xmlns:a16="http://schemas.microsoft.com/office/drawing/2014/main" id="{D615274A-1FA1-005A-7A24-E30CD2935E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400050</xdr:colOff>
      <xdr:row>21</xdr:row>
      <xdr:rowOff>38100</xdr:rowOff>
    </xdr:from>
    <xdr:to>
      <xdr:col>27</xdr:col>
      <xdr:colOff>400050</xdr:colOff>
      <xdr:row>38</xdr:row>
      <xdr:rowOff>112395</xdr:rowOff>
    </xdr:to>
    <xdr:graphicFrame macro="">
      <xdr:nvGraphicFramePr>
        <xdr:cNvPr id="10" name="Chart 9">
          <a:extLst>
            <a:ext uri="{FF2B5EF4-FFF2-40B4-BE49-F238E27FC236}">
              <a16:creationId xmlns:a16="http://schemas.microsoft.com/office/drawing/2014/main" id="{6BD039F5-D558-4A83-AA09-33033AD0D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28</xdr:col>
      <xdr:colOff>21166</xdr:colOff>
      <xdr:row>0</xdr:row>
      <xdr:rowOff>52916</xdr:rowOff>
    </xdr:from>
    <xdr:to>
      <xdr:col>30</xdr:col>
      <xdr:colOff>165100</xdr:colOff>
      <xdr:row>1</xdr:row>
      <xdr:rowOff>185208</xdr:rowOff>
    </xdr:to>
    <xdr:sp macro="" textlink="">
      <xdr:nvSpPr>
        <xdr:cNvPr id="12" name="Rectangle: Rounded Corners 11">
          <a:hlinkClick xmlns:r="http://schemas.openxmlformats.org/officeDocument/2006/relationships" r:id="rId7"/>
          <a:extLst>
            <a:ext uri="{FF2B5EF4-FFF2-40B4-BE49-F238E27FC236}">
              <a16:creationId xmlns:a16="http://schemas.microsoft.com/office/drawing/2014/main" id="{9FCAFADE-EB70-4F5F-8631-76D7EFB21E09}"/>
            </a:ext>
          </a:extLst>
        </xdr:cNvPr>
        <xdr:cNvSpPr/>
      </xdr:nvSpPr>
      <xdr:spPr>
        <a:xfrm>
          <a:off x="17409583" y="52916"/>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twoCellAnchor>
    <xdr:from>
      <xdr:col>0</xdr:col>
      <xdr:colOff>0</xdr:colOff>
      <xdr:row>40</xdr:row>
      <xdr:rowOff>52917</xdr:rowOff>
    </xdr:from>
    <xdr:to>
      <xdr:col>7</xdr:col>
      <xdr:colOff>359834</xdr:colOff>
      <xdr:row>57</xdr:row>
      <xdr:rowOff>127211</xdr:rowOff>
    </xdr:to>
    <xdr:graphicFrame macro="">
      <xdr:nvGraphicFramePr>
        <xdr:cNvPr id="4" name="Chart 3">
          <a:extLst>
            <a:ext uri="{FF2B5EF4-FFF2-40B4-BE49-F238E27FC236}">
              <a16:creationId xmlns:a16="http://schemas.microsoft.com/office/drawing/2014/main" id="{39C4061F-4D06-417A-BDD9-F322BF025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122464</xdr:colOff>
      <xdr:row>2</xdr:row>
      <xdr:rowOff>0</xdr:rowOff>
    </xdr:from>
    <xdr:to>
      <xdr:col>15</xdr:col>
      <xdr:colOff>804636</xdr:colOff>
      <xdr:row>3</xdr:row>
      <xdr:rowOff>120197</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6DE12C72-2FC0-4D58-A970-02182851DC5F}"/>
            </a:ext>
          </a:extLst>
        </xdr:cNvPr>
        <xdr:cNvSpPr/>
      </xdr:nvSpPr>
      <xdr:spPr>
        <a:xfrm>
          <a:off x="16680089" y="285750"/>
          <a:ext cx="1364797" cy="32657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237724</xdr:colOff>
      <xdr:row>0</xdr:row>
      <xdr:rowOff>43223</xdr:rowOff>
    </xdr:from>
    <xdr:to>
      <xdr:col>16</xdr:col>
      <xdr:colOff>60512</xdr:colOff>
      <xdr:row>2</xdr:row>
      <xdr:rowOff>77241</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4730D49B-CECD-4722-8862-86E7D61A3A7E}"/>
            </a:ext>
          </a:extLst>
        </xdr:cNvPr>
        <xdr:cNvSpPr/>
      </xdr:nvSpPr>
      <xdr:spPr>
        <a:xfrm>
          <a:off x="16452636" y="43223"/>
          <a:ext cx="1380405" cy="325371"/>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57150</xdr:colOff>
      <xdr:row>0</xdr:row>
      <xdr:rowOff>28575</xdr:rowOff>
    </xdr:from>
    <xdr:to>
      <xdr:col>11</xdr:col>
      <xdr:colOff>142875</xdr:colOff>
      <xdr:row>2</xdr:row>
      <xdr:rowOff>19050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951303A8-EEF1-4AFD-A7F2-DD37EDE68957}"/>
            </a:ext>
          </a:extLst>
        </xdr:cNvPr>
        <xdr:cNvSpPr/>
      </xdr:nvSpPr>
      <xdr:spPr>
        <a:xfrm>
          <a:off x="10239375" y="28575"/>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186498</xdr:colOff>
      <xdr:row>0</xdr:row>
      <xdr:rowOff>123265</xdr:rowOff>
    </xdr:from>
    <xdr:to>
      <xdr:col>11</xdr:col>
      <xdr:colOff>952980</xdr:colOff>
      <xdr:row>2</xdr:row>
      <xdr:rowOff>106857</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88CE58CA-7A91-46F7-97D7-CB57CF76EA4D}"/>
            </a:ext>
          </a:extLst>
        </xdr:cNvPr>
        <xdr:cNvSpPr/>
      </xdr:nvSpPr>
      <xdr:spPr>
        <a:xfrm>
          <a:off x="8938292" y="123265"/>
          <a:ext cx="1371600" cy="330974"/>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76200</xdr:colOff>
      <xdr:row>0</xdr:row>
      <xdr:rowOff>57150</xdr:rowOff>
    </xdr:from>
    <xdr:to>
      <xdr:col>20</xdr:col>
      <xdr:colOff>38100</xdr:colOff>
      <xdr:row>2</xdr:row>
      <xdr:rowOff>104775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42C82624-1A64-41A5-A176-DBCF7AD04DFA}"/>
            </a:ext>
          </a:extLst>
        </xdr:cNvPr>
        <xdr:cNvSpPr/>
      </xdr:nvSpPr>
      <xdr:spPr>
        <a:xfrm>
          <a:off x="11287125" y="57150"/>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11</xdr:col>
      <xdr:colOff>77560</xdr:colOff>
      <xdr:row>2</xdr:row>
      <xdr:rowOff>96611</xdr:rowOff>
    </xdr:from>
    <xdr:to>
      <xdr:col>12</xdr:col>
      <xdr:colOff>996042</xdr:colOff>
      <xdr:row>4</xdr:row>
      <xdr:rowOff>21771</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CB6DAFD-691B-40F3-B5BC-D6D3AA5A2ECC}"/>
            </a:ext>
          </a:extLst>
        </xdr:cNvPr>
        <xdr:cNvSpPr/>
      </xdr:nvSpPr>
      <xdr:spPr>
        <a:xfrm>
          <a:off x="9221560" y="496661"/>
          <a:ext cx="1366157" cy="32521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9525</xdr:colOff>
      <xdr:row>1</xdr:row>
      <xdr:rowOff>19050</xdr:rowOff>
    </xdr:from>
    <xdr:to>
      <xdr:col>10</xdr:col>
      <xdr:colOff>161925</xdr:colOff>
      <xdr:row>2</xdr:row>
      <xdr:rowOff>152400</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FA448CEC-2D58-45F9-B613-310CEBB3B29D}"/>
            </a:ext>
          </a:extLst>
        </xdr:cNvPr>
        <xdr:cNvSpPr/>
      </xdr:nvSpPr>
      <xdr:spPr>
        <a:xfrm>
          <a:off x="8524875" y="161925"/>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190500</xdr:colOff>
      <xdr:row>0</xdr:row>
      <xdr:rowOff>56030</xdr:rowOff>
    </xdr:from>
    <xdr:to>
      <xdr:col>8</xdr:col>
      <xdr:colOff>676835</xdr:colOff>
      <xdr:row>2</xdr:row>
      <xdr:rowOff>42023</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F1BA03BA-E535-4A6C-928E-E8C5166556F4}"/>
            </a:ext>
          </a:extLst>
        </xdr:cNvPr>
        <xdr:cNvSpPr/>
      </xdr:nvSpPr>
      <xdr:spPr>
        <a:xfrm>
          <a:off x="8751794" y="56030"/>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28575</xdr:colOff>
      <xdr:row>0</xdr:row>
      <xdr:rowOff>19050</xdr:rowOff>
    </xdr:from>
    <xdr:to>
      <xdr:col>12</xdr:col>
      <xdr:colOff>542925</xdr:colOff>
      <xdr:row>1</xdr:row>
      <xdr:rowOff>209550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F1F79F6B-A797-4768-8920-11B89ED25E41}"/>
            </a:ext>
          </a:extLst>
        </xdr:cNvPr>
        <xdr:cNvSpPr/>
      </xdr:nvSpPr>
      <xdr:spPr>
        <a:xfrm>
          <a:off x="4743450" y="19050"/>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9734550</xdr:colOff>
      <xdr:row>0</xdr:row>
      <xdr:rowOff>57150</xdr:rowOff>
    </xdr:from>
    <xdr:to>
      <xdr:col>3</xdr:col>
      <xdr:colOff>0</xdr:colOff>
      <xdr:row>1</xdr:row>
      <xdr:rowOff>190500</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DF524A7D-7614-4711-803F-0EEF56D3EF56}"/>
            </a:ext>
          </a:extLst>
        </xdr:cNvPr>
        <xdr:cNvSpPr/>
      </xdr:nvSpPr>
      <xdr:spPr>
        <a:xfrm>
          <a:off x="11830050" y="57150"/>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78442</xdr:colOff>
      <xdr:row>0</xdr:row>
      <xdr:rowOff>56029</xdr:rowOff>
    </xdr:from>
    <xdr:to>
      <xdr:col>13</xdr:col>
      <xdr:colOff>396689</xdr:colOff>
      <xdr:row>1</xdr:row>
      <xdr:rowOff>187698</xdr:rowOff>
    </xdr:to>
    <xdr:sp macro="" textlink="">
      <xdr:nvSpPr>
        <xdr:cNvPr id="8" name="Rectangle: Rounded Corners 7">
          <a:hlinkClick xmlns:r="http://schemas.openxmlformats.org/officeDocument/2006/relationships" r:id="rId1"/>
          <a:extLst>
            <a:ext uri="{FF2B5EF4-FFF2-40B4-BE49-F238E27FC236}">
              <a16:creationId xmlns:a16="http://schemas.microsoft.com/office/drawing/2014/main" id="{441352AF-AD5F-49A3-8257-D5C7DE5CAF7D}"/>
            </a:ext>
          </a:extLst>
        </xdr:cNvPr>
        <xdr:cNvSpPr/>
      </xdr:nvSpPr>
      <xdr:spPr>
        <a:xfrm>
          <a:off x="12416118" y="56029"/>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2116</xdr:colOff>
      <xdr:row>0</xdr:row>
      <xdr:rowOff>57150</xdr:rowOff>
    </xdr:from>
    <xdr:to>
      <xdr:col>7</xdr:col>
      <xdr:colOff>154516</xdr:colOff>
      <xdr:row>1</xdr:row>
      <xdr:rowOff>190500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36D4C047-C44D-40FC-944B-1124A83D94A0}"/>
            </a:ext>
          </a:extLst>
        </xdr:cNvPr>
        <xdr:cNvSpPr/>
      </xdr:nvSpPr>
      <xdr:spPr>
        <a:xfrm>
          <a:off x="5298016" y="57150"/>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7252607</xdr:colOff>
      <xdr:row>0</xdr:row>
      <xdr:rowOff>40822</xdr:rowOff>
    </xdr:from>
    <xdr:to>
      <xdr:col>5</xdr:col>
      <xdr:colOff>895350</xdr:colOff>
      <xdr:row>1</xdr:row>
      <xdr:rowOff>170090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2DE8A917-2C9D-4839-A707-28CA79342F39}"/>
            </a:ext>
          </a:extLst>
        </xdr:cNvPr>
        <xdr:cNvSpPr/>
      </xdr:nvSpPr>
      <xdr:spPr>
        <a:xfrm>
          <a:off x="12981214" y="244929"/>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13607</xdr:colOff>
      <xdr:row>0</xdr:row>
      <xdr:rowOff>13607</xdr:rowOff>
    </xdr:from>
    <xdr:to>
      <xdr:col>10</xdr:col>
      <xdr:colOff>378279</xdr:colOff>
      <xdr:row>1</xdr:row>
      <xdr:rowOff>142875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EEDC8A38-0608-4EE1-8925-76CE1A1460DF}"/>
            </a:ext>
          </a:extLst>
        </xdr:cNvPr>
        <xdr:cNvSpPr/>
      </xdr:nvSpPr>
      <xdr:spPr>
        <a:xfrm>
          <a:off x="9797143" y="13607"/>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1142999</xdr:colOff>
      <xdr:row>0</xdr:row>
      <xdr:rowOff>40822</xdr:rowOff>
    </xdr:from>
    <xdr:to>
      <xdr:col>11</xdr:col>
      <xdr:colOff>119742</xdr:colOff>
      <xdr:row>1</xdr:row>
      <xdr:rowOff>170090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0763C603-A9D1-4F92-BEFB-367A9A0B45AD}"/>
            </a:ext>
          </a:extLst>
        </xdr:cNvPr>
        <xdr:cNvSpPr/>
      </xdr:nvSpPr>
      <xdr:spPr>
        <a:xfrm>
          <a:off x="9443356" y="40822"/>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603250</xdr:colOff>
      <xdr:row>0</xdr:row>
      <xdr:rowOff>95250</xdr:rowOff>
    </xdr:from>
    <xdr:to>
      <xdr:col>12</xdr:col>
      <xdr:colOff>136374</xdr:colOff>
      <xdr:row>2</xdr:row>
      <xdr:rowOff>23434</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02155D93-55A4-4F9E-BB54-8F7F1213F5F7}"/>
            </a:ext>
          </a:extLst>
        </xdr:cNvPr>
        <xdr:cNvSpPr/>
      </xdr:nvSpPr>
      <xdr:spPr>
        <a:xfrm>
          <a:off x="10255250" y="95250"/>
          <a:ext cx="1374624" cy="330351"/>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11205</xdr:colOff>
      <xdr:row>0</xdr:row>
      <xdr:rowOff>89647</xdr:rowOff>
    </xdr:from>
    <xdr:to>
      <xdr:col>13</xdr:col>
      <xdr:colOff>172570</xdr:colOff>
      <xdr:row>2</xdr:row>
      <xdr:rowOff>8404</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88105B21-7566-449F-BBD3-792A3EE8D6A9}"/>
            </a:ext>
          </a:extLst>
        </xdr:cNvPr>
        <xdr:cNvSpPr/>
      </xdr:nvSpPr>
      <xdr:spPr>
        <a:xfrm>
          <a:off x="10410264" y="89647"/>
          <a:ext cx="1371600" cy="3333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408215</xdr:colOff>
      <xdr:row>0</xdr:row>
      <xdr:rowOff>36286</xdr:rowOff>
    </xdr:from>
    <xdr:to>
      <xdr:col>12</xdr:col>
      <xdr:colOff>1782838</xdr:colOff>
      <xdr:row>2</xdr:row>
      <xdr:rowOff>17387</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83A378E3-EF27-4C28-B9EC-8EDC97E888EF}"/>
            </a:ext>
          </a:extLst>
        </xdr:cNvPr>
        <xdr:cNvSpPr/>
      </xdr:nvSpPr>
      <xdr:spPr>
        <a:xfrm>
          <a:off x="16240882" y="36286"/>
          <a:ext cx="1374623" cy="330351"/>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62</xdr:col>
      <xdr:colOff>95249</xdr:colOff>
      <xdr:row>0</xdr:row>
      <xdr:rowOff>116417</xdr:rowOff>
    </xdr:from>
    <xdr:to>
      <xdr:col>63</xdr:col>
      <xdr:colOff>612623</xdr:colOff>
      <xdr:row>2</xdr:row>
      <xdr:rowOff>97518</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E4FCC438-8C0B-46B1-83D9-09E22B898D88}"/>
            </a:ext>
          </a:extLst>
        </xdr:cNvPr>
        <xdr:cNvSpPr/>
      </xdr:nvSpPr>
      <xdr:spPr>
        <a:xfrm>
          <a:off x="14848416" y="116417"/>
          <a:ext cx="1374624" cy="330351"/>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Back to</a:t>
          </a:r>
          <a:r>
            <a:rPr lang="en-US" sz="1600" b="1" baseline="0"/>
            <a:t> TOC</a:t>
          </a:r>
          <a:endParaRPr lang="en-US" sz="16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cf803295690d9b40/2.%20Career/1.1%20Fund%20Accounting%20and%20Reporting/1.%20Model/1.%20Course%20content.xlsx" TargetMode="External"/><Relationship Id="rId1" Type="http://schemas.openxmlformats.org/officeDocument/2006/relationships/externalLinkPath" Target="1.%20Course%20cont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
      <sheetName val="Disclaimer"/>
      <sheetName val="Course content"/>
      <sheetName val="Model Summary"/>
      <sheetName val="1.1 Types"/>
      <sheetName val="1.2 Structure"/>
      <sheetName val="1.3 J-Curve"/>
      <sheetName val="1.4 Career"/>
      <sheetName val="JEs"/>
      <sheetName val="Model Old"/>
      <sheetName val="Typical JE"/>
    </sheetNames>
    <sheetDataSet>
      <sheetData sheetId="0"/>
      <sheetData sheetId="1"/>
      <sheetData sheetId="2"/>
      <sheetData sheetId="3"/>
      <sheetData sheetId="4"/>
      <sheetData sheetId="5"/>
      <sheetData sheetId="6"/>
      <sheetData sheetId="7"/>
      <sheetData sheetId="8">
        <row r="4">
          <cell r="B4">
            <v>45292</v>
          </cell>
          <cell r="D4" t="str">
            <v>Capital Contributions receivable</v>
          </cell>
          <cell r="E4">
            <v>0</v>
          </cell>
          <cell r="F4">
            <v>1000000</v>
          </cell>
          <cell r="G4">
            <v>0</v>
          </cell>
          <cell r="H4" t="str">
            <v>Record capital contributions receivable</v>
          </cell>
        </row>
        <row r="5">
          <cell r="B5">
            <v>45292</v>
          </cell>
          <cell r="D5">
            <v>0</v>
          </cell>
          <cell r="E5" t="str">
            <v>Investor Contributions</v>
          </cell>
          <cell r="F5">
            <v>0</v>
          </cell>
          <cell r="G5">
            <v>1000000</v>
          </cell>
          <cell r="H5" t="str">
            <v>Record investor contributions received</v>
          </cell>
        </row>
        <row r="6">
          <cell r="B6">
            <v>45306</v>
          </cell>
          <cell r="D6" t="str">
            <v>Cash and cash equivalents</v>
          </cell>
          <cell r="E6">
            <v>0</v>
          </cell>
          <cell r="F6">
            <v>1000000</v>
          </cell>
          <cell r="G6">
            <v>0</v>
          </cell>
          <cell r="H6" t="str">
            <v>Funds received from Capital Call 1</v>
          </cell>
        </row>
        <row r="7">
          <cell r="B7">
            <v>45306</v>
          </cell>
          <cell r="D7">
            <v>0</v>
          </cell>
          <cell r="E7" t="str">
            <v>Capital Contributions receivable</v>
          </cell>
          <cell r="F7">
            <v>0</v>
          </cell>
          <cell r="G7">
            <v>1000000</v>
          </cell>
          <cell r="H7" t="str">
            <v>Clear receivable upon funds receipt</v>
          </cell>
        </row>
        <row r="8">
          <cell r="B8">
            <v>45306</v>
          </cell>
          <cell r="D8" t="str">
            <v>Capital Contributions receivable</v>
          </cell>
          <cell r="E8">
            <v>0</v>
          </cell>
          <cell r="F8">
            <v>4600000</v>
          </cell>
          <cell r="G8">
            <v>0</v>
          </cell>
          <cell r="H8" t="str">
            <v>Record capital contributions receivable</v>
          </cell>
        </row>
        <row r="9">
          <cell r="B9">
            <v>45306</v>
          </cell>
          <cell r="D9">
            <v>0</v>
          </cell>
          <cell r="E9" t="str">
            <v>Investor Contributions</v>
          </cell>
          <cell r="F9">
            <v>0</v>
          </cell>
          <cell r="G9">
            <v>4600000</v>
          </cell>
          <cell r="H9" t="str">
            <v>Record investor contributions received</v>
          </cell>
        </row>
        <row r="10">
          <cell r="B10">
            <v>45311</v>
          </cell>
          <cell r="D10" t="str">
            <v>Cash and cash equivalents</v>
          </cell>
          <cell r="E10">
            <v>0</v>
          </cell>
          <cell r="F10">
            <v>4600000</v>
          </cell>
          <cell r="G10">
            <v>0</v>
          </cell>
          <cell r="H10" t="str">
            <v>Funds received from Capital Call 2</v>
          </cell>
        </row>
        <row r="11">
          <cell r="B11">
            <v>45311</v>
          </cell>
          <cell r="D11">
            <v>0</v>
          </cell>
          <cell r="E11" t="str">
            <v>Capital Contributions receivable</v>
          </cell>
          <cell r="F11">
            <v>0</v>
          </cell>
          <cell r="G11">
            <v>4600000</v>
          </cell>
          <cell r="H11" t="str">
            <v>Clear receivable upon funds receipt</v>
          </cell>
        </row>
        <row r="12">
          <cell r="B12">
            <v>45413</v>
          </cell>
          <cell r="D12" t="str">
            <v>Capital Contributions receivable</v>
          </cell>
          <cell r="E12">
            <v>0</v>
          </cell>
          <cell r="F12">
            <v>9400000</v>
          </cell>
          <cell r="G12">
            <v>0</v>
          </cell>
          <cell r="H12" t="str">
            <v>Record capital contributions receivable</v>
          </cell>
        </row>
        <row r="13">
          <cell r="B13">
            <v>45413</v>
          </cell>
          <cell r="D13">
            <v>0</v>
          </cell>
          <cell r="E13" t="str">
            <v>Investor Contributions</v>
          </cell>
          <cell r="F13">
            <v>0</v>
          </cell>
          <cell r="G13">
            <v>9400000</v>
          </cell>
          <cell r="H13" t="str">
            <v>Record investor contributions received</v>
          </cell>
        </row>
        <row r="14">
          <cell r="B14">
            <v>45443</v>
          </cell>
          <cell r="D14" t="str">
            <v>Cash and cash equivalents</v>
          </cell>
          <cell r="E14">
            <v>0</v>
          </cell>
          <cell r="F14">
            <v>9400000</v>
          </cell>
          <cell r="G14">
            <v>0</v>
          </cell>
          <cell r="H14" t="str">
            <v>Funds received from Capital Call 3</v>
          </cell>
        </row>
        <row r="15">
          <cell r="B15">
            <v>45443</v>
          </cell>
          <cell r="D15">
            <v>0</v>
          </cell>
          <cell r="E15" t="str">
            <v>Capital Contributions receivable</v>
          </cell>
          <cell r="F15">
            <v>0</v>
          </cell>
          <cell r="G15">
            <v>9400000</v>
          </cell>
          <cell r="H15" t="str">
            <v>Clear receivable upon funds receipt</v>
          </cell>
        </row>
        <row r="16">
          <cell r="B16">
            <v>45306</v>
          </cell>
          <cell r="D16" t="str">
            <v>Investments, at fair value</v>
          </cell>
          <cell r="E16">
            <v>0</v>
          </cell>
          <cell r="F16">
            <v>800000</v>
          </cell>
          <cell r="G16">
            <v>0</v>
          </cell>
          <cell r="H16" t="str">
            <v>Records the investment of $1,000,000 into the laundromat business at fair value.</v>
          </cell>
        </row>
        <row r="17">
          <cell r="B17">
            <v>45306</v>
          </cell>
          <cell r="D17">
            <v>0</v>
          </cell>
          <cell r="E17" t="str">
            <v>Cash and cash equivalents</v>
          </cell>
          <cell r="F17">
            <v>0</v>
          </cell>
          <cell r="G17">
            <v>800000</v>
          </cell>
          <cell r="H17" t="str">
            <v>Reflects the reduction in cash and cash equivalents as $1,000,000 is used to purchase the investment.</v>
          </cell>
        </row>
        <row r="18">
          <cell r="B18">
            <v>45311</v>
          </cell>
          <cell r="D18" t="str">
            <v>Investments, at fair value</v>
          </cell>
          <cell r="E18">
            <v>0</v>
          </cell>
          <cell r="F18">
            <v>4600000</v>
          </cell>
          <cell r="G18">
            <v>0</v>
          </cell>
          <cell r="H18" t="str">
            <v>Records the investment of $4,600,000 into the AI Tech business at fair value.</v>
          </cell>
        </row>
        <row r="19">
          <cell r="B19">
            <v>45311</v>
          </cell>
          <cell r="D19">
            <v>0</v>
          </cell>
          <cell r="E19" t="str">
            <v>Cash and cash equivalents</v>
          </cell>
          <cell r="F19">
            <v>0</v>
          </cell>
          <cell r="G19">
            <v>4600000</v>
          </cell>
          <cell r="H19" t="str">
            <v>Reflects the reduction in cash and cash equivalents as $4,600,000 is used to purchase the investment.</v>
          </cell>
        </row>
        <row r="20">
          <cell r="B20">
            <v>45413</v>
          </cell>
          <cell r="D20" t="str">
            <v>Investments, at fair value</v>
          </cell>
          <cell r="E20">
            <v>0</v>
          </cell>
          <cell r="F20">
            <v>4000000</v>
          </cell>
          <cell r="G20">
            <v>0</v>
          </cell>
          <cell r="H20" t="str">
            <v>Records the investment of $4,000,000 to purchase equity ownership in the E-commerce business.</v>
          </cell>
        </row>
        <row r="21">
          <cell r="B21">
            <v>45413</v>
          </cell>
          <cell r="D21">
            <v>0</v>
          </cell>
          <cell r="E21" t="str">
            <v>Cash and cash equivalents</v>
          </cell>
          <cell r="F21">
            <v>0</v>
          </cell>
          <cell r="G21">
            <v>4000000</v>
          </cell>
          <cell r="H21" t="str">
            <v>Reflects the reduction in cash and cash equivalents as $4,000,000 is used to purchase the equity investment.</v>
          </cell>
        </row>
        <row r="22">
          <cell r="B22">
            <v>45413</v>
          </cell>
          <cell r="D22" t="str">
            <v>Loan/Notes receivable</v>
          </cell>
          <cell r="E22">
            <v>0</v>
          </cell>
          <cell r="F22">
            <v>2000000</v>
          </cell>
          <cell r="G22">
            <v>0</v>
          </cell>
          <cell r="H22" t="str">
            <v>Records the loan of $2,000,000 extended to the E-commerce business, expected to be repaid monthly.</v>
          </cell>
        </row>
        <row r="23">
          <cell r="B23">
            <v>45413</v>
          </cell>
          <cell r="D23">
            <v>0</v>
          </cell>
          <cell r="E23" t="str">
            <v>Cash and cash equivalents</v>
          </cell>
          <cell r="F23">
            <v>0</v>
          </cell>
          <cell r="G23">
            <v>2000000</v>
          </cell>
          <cell r="H23" t="str">
            <v>Reflects the outflow of cash as $2,000,000 is provided as a loan to the E-commerce business.</v>
          </cell>
        </row>
        <row r="24">
          <cell r="B24">
            <v>45413</v>
          </cell>
          <cell r="D24" t="str">
            <v>Loan/Notes receivable</v>
          </cell>
          <cell r="E24">
            <v>0</v>
          </cell>
          <cell r="F24">
            <v>3000000</v>
          </cell>
          <cell r="G24">
            <v>0</v>
          </cell>
          <cell r="H24" t="str">
            <v>Records the loan of $3,000,000 extended for the apartment construction project.</v>
          </cell>
        </row>
        <row r="25">
          <cell r="B25">
            <v>45413</v>
          </cell>
          <cell r="D25">
            <v>0</v>
          </cell>
          <cell r="E25" t="str">
            <v>Cash and cash equivalents</v>
          </cell>
          <cell r="F25">
            <v>0</v>
          </cell>
          <cell r="G25">
            <v>3000000</v>
          </cell>
          <cell r="H25" t="str">
            <v>Reflects the outflow of cash as $3,000,000 is disbursed for the apartment construction loan.</v>
          </cell>
        </row>
        <row r="26">
          <cell r="B26">
            <v>45626</v>
          </cell>
          <cell r="D26" t="str">
            <v>Cash and cash equivalents</v>
          </cell>
          <cell r="E26">
            <v>0</v>
          </cell>
          <cell r="F26">
            <v>9200000</v>
          </cell>
          <cell r="G26">
            <v>0</v>
          </cell>
          <cell r="H26" t="str">
            <v>Cash received from the sale of AI Tech investments.</v>
          </cell>
        </row>
        <row r="27">
          <cell r="B27">
            <v>45626</v>
          </cell>
          <cell r="D27">
            <v>0</v>
          </cell>
          <cell r="E27" t="str">
            <v>Investments, at fair value</v>
          </cell>
          <cell r="F27">
            <v>0</v>
          </cell>
          <cell r="G27">
            <v>4600000</v>
          </cell>
          <cell r="H27" t="str">
            <v>Removal of the sold AI Tech investments from the balance sheet.</v>
          </cell>
        </row>
        <row r="28">
          <cell r="B28">
            <v>45626</v>
          </cell>
          <cell r="D28">
            <v>0</v>
          </cell>
          <cell r="E28" t="str">
            <v>Realized Investment gains/losses</v>
          </cell>
          <cell r="F28">
            <v>0</v>
          </cell>
          <cell r="G28">
            <v>4600000</v>
          </cell>
          <cell r="H28" t="str">
            <v>Recognition of the profit realized on the sale of AI Tech investments.</v>
          </cell>
        </row>
        <row r="29">
          <cell r="B29">
            <v>45633</v>
          </cell>
          <cell r="D29" t="str">
            <v>Investor Redemptions</v>
          </cell>
          <cell r="E29">
            <v>0</v>
          </cell>
          <cell r="F29">
            <v>7360000</v>
          </cell>
          <cell r="G29">
            <v>0</v>
          </cell>
          <cell r="H29" t="str">
            <v>Distribution of cash proceeds to investors as redemptions.</v>
          </cell>
        </row>
        <row r="30">
          <cell r="B30">
            <v>45633</v>
          </cell>
          <cell r="D30">
            <v>0</v>
          </cell>
          <cell r="E30" t="str">
            <v>Cash and cash equivalents</v>
          </cell>
          <cell r="F30">
            <v>0</v>
          </cell>
          <cell r="G30">
            <v>7360000</v>
          </cell>
          <cell r="H30" t="str">
            <v>Cash outflow reflecting the redemption payments made to investors.</v>
          </cell>
        </row>
        <row r="31">
          <cell r="B31">
            <v>45657</v>
          </cell>
          <cell r="D31" t="str">
            <v>Cash and cash equivalents</v>
          </cell>
          <cell r="E31">
            <v>0</v>
          </cell>
          <cell r="F31">
            <v>2753833.0900729205</v>
          </cell>
          <cell r="G31">
            <v>0</v>
          </cell>
          <cell r="H31" t="str">
            <v>Cash received as prepaid proceeds for the construction loan.</v>
          </cell>
        </row>
        <row r="32">
          <cell r="B32">
            <v>45657</v>
          </cell>
          <cell r="D32">
            <v>0</v>
          </cell>
          <cell r="E32" t="str">
            <v>Loan/Notes receivable</v>
          </cell>
          <cell r="F32">
            <v>0</v>
          </cell>
          <cell r="G32">
            <v>2753833.0900729205</v>
          </cell>
          <cell r="H32" t="str">
            <v>Recognition of the loan/notes receivable for the prepaid proceeds.</v>
          </cell>
        </row>
        <row r="33">
          <cell r="B33">
            <v>45657</v>
          </cell>
          <cell r="D33" t="str">
            <v>Investor Redemptions</v>
          </cell>
          <cell r="E33">
            <v>0</v>
          </cell>
          <cell r="F33">
            <v>2753833.0900729205</v>
          </cell>
          <cell r="G33">
            <v>0</v>
          </cell>
          <cell r="H33" t="str">
            <v>Distribution of cash proceeds to investors as redemptions.</v>
          </cell>
        </row>
        <row r="34">
          <cell r="B34">
            <v>45657</v>
          </cell>
          <cell r="D34">
            <v>0</v>
          </cell>
          <cell r="E34" t="str">
            <v>Cash and cash equivalents</v>
          </cell>
          <cell r="F34">
            <v>0</v>
          </cell>
          <cell r="G34">
            <v>2753833.0900729205</v>
          </cell>
          <cell r="H34" t="str">
            <v>Cash outflow reflecting the redemption payments made to investors.</v>
          </cell>
        </row>
        <row r="35">
          <cell r="B35">
            <v>45322</v>
          </cell>
          <cell r="D35" t="str">
            <v>Legal fee expense</v>
          </cell>
          <cell r="E35">
            <v>0</v>
          </cell>
          <cell r="F35">
            <v>1666.6666666666667</v>
          </cell>
          <cell r="G35">
            <v>0</v>
          </cell>
          <cell r="H35" t="str">
            <v>Legal fee incurred - January 2024</v>
          </cell>
        </row>
        <row r="36">
          <cell r="B36">
            <v>45322</v>
          </cell>
          <cell r="D36">
            <v>0</v>
          </cell>
          <cell r="E36" t="str">
            <v>Cash and cash equivalents</v>
          </cell>
          <cell r="F36">
            <v>0</v>
          </cell>
          <cell r="G36">
            <v>1666.6666666666667</v>
          </cell>
          <cell r="H36" t="str">
            <v>Payment for legal fee - January 2024</v>
          </cell>
        </row>
        <row r="37">
          <cell r="B37">
            <v>45351</v>
          </cell>
          <cell r="D37" t="str">
            <v>Legal fee expense</v>
          </cell>
          <cell r="E37">
            <v>0</v>
          </cell>
          <cell r="F37">
            <v>1666.6666666666667</v>
          </cell>
          <cell r="G37">
            <v>0</v>
          </cell>
          <cell r="H37" t="str">
            <v>Legal fee incurred - February 2024</v>
          </cell>
        </row>
        <row r="38">
          <cell r="B38">
            <v>45351</v>
          </cell>
          <cell r="D38">
            <v>0</v>
          </cell>
          <cell r="E38" t="str">
            <v>Cash and cash equivalents</v>
          </cell>
          <cell r="F38">
            <v>0</v>
          </cell>
          <cell r="G38">
            <v>1666.6666666666667</v>
          </cell>
          <cell r="H38" t="str">
            <v>Payment for legal fee - February 2024</v>
          </cell>
        </row>
        <row r="39">
          <cell r="B39">
            <v>45382</v>
          </cell>
          <cell r="D39" t="str">
            <v>Legal fee expense</v>
          </cell>
          <cell r="E39">
            <v>0</v>
          </cell>
          <cell r="F39">
            <v>1666.6666666666667</v>
          </cell>
          <cell r="G39">
            <v>0</v>
          </cell>
          <cell r="H39" t="str">
            <v>Legal fee incurred - March 2024</v>
          </cell>
        </row>
        <row r="40">
          <cell r="B40">
            <v>45382</v>
          </cell>
          <cell r="D40">
            <v>0</v>
          </cell>
          <cell r="E40" t="str">
            <v>Cash and cash equivalents</v>
          </cell>
          <cell r="F40">
            <v>0</v>
          </cell>
          <cell r="G40">
            <v>1666.6666666666667</v>
          </cell>
          <cell r="H40" t="str">
            <v>Payment for legal fee - March 2024</v>
          </cell>
        </row>
        <row r="41">
          <cell r="B41">
            <v>45412</v>
          </cell>
          <cell r="D41" t="str">
            <v>Legal fee expense</v>
          </cell>
          <cell r="E41">
            <v>0</v>
          </cell>
          <cell r="F41">
            <v>1666.6666666666667</v>
          </cell>
          <cell r="G41">
            <v>0</v>
          </cell>
          <cell r="H41" t="str">
            <v>Legal fee incurred - April 2024</v>
          </cell>
        </row>
        <row r="42">
          <cell r="B42">
            <v>45412</v>
          </cell>
          <cell r="D42">
            <v>0</v>
          </cell>
          <cell r="E42" t="str">
            <v>Cash and cash equivalents</v>
          </cell>
          <cell r="F42">
            <v>0</v>
          </cell>
          <cell r="G42">
            <v>1666.6666666666667</v>
          </cell>
          <cell r="H42" t="str">
            <v>Payment for legal fee - April 2024</v>
          </cell>
        </row>
        <row r="43">
          <cell r="B43">
            <v>45443</v>
          </cell>
          <cell r="D43" t="str">
            <v>Legal fee expense</v>
          </cell>
          <cell r="E43">
            <v>0</v>
          </cell>
          <cell r="F43">
            <v>1666.6666666666667</v>
          </cell>
          <cell r="G43">
            <v>0</v>
          </cell>
          <cell r="H43" t="str">
            <v>Legal fee incurred - May 2024</v>
          </cell>
        </row>
        <row r="44">
          <cell r="B44">
            <v>45443</v>
          </cell>
          <cell r="D44">
            <v>0</v>
          </cell>
          <cell r="E44" t="str">
            <v>Cash and cash equivalents</v>
          </cell>
          <cell r="F44">
            <v>0</v>
          </cell>
          <cell r="G44">
            <v>1666.6666666666667</v>
          </cell>
          <cell r="H44" t="str">
            <v>Payment for legal fee - May 2024</v>
          </cell>
        </row>
        <row r="45">
          <cell r="B45">
            <v>45473</v>
          </cell>
          <cell r="D45" t="str">
            <v>Legal fee expense</v>
          </cell>
          <cell r="E45">
            <v>0</v>
          </cell>
          <cell r="F45">
            <v>1666.6666666666667</v>
          </cell>
          <cell r="G45">
            <v>0</v>
          </cell>
          <cell r="H45" t="str">
            <v>Legal fee incurred - June 2024</v>
          </cell>
        </row>
        <row r="46">
          <cell r="B46">
            <v>45473</v>
          </cell>
          <cell r="D46">
            <v>0</v>
          </cell>
          <cell r="E46" t="str">
            <v>Cash and cash equivalents</v>
          </cell>
          <cell r="F46">
            <v>0</v>
          </cell>
          <cell r="G46">
            <v>1666.6666666666667</v>
          </cell>
          <cell r="H46" t="str">
            <v>Payment for legal fee - June 2024</v>
          </cell>
        </row>
        <row r="47">
          <cell r="B47">
            <v>45504</v>
          </cell>
          <cell r="D47" t="str">
            <v>Legal fee expense</v>
          </cell>
          <cell r="E47">
            <v>0</v>
          </cell>
          <cell r="F47">
            <v>1666.6666666666667</v>
          </cell>
          <cell r="G47">
            <v>0</v>
          </cell>
          <cell r="H47" t="str">
            <v>Legal fee incurred - July 2024</v>
          </cell>
        </row>
        <row r="48">
          <cell r="B48">
            <v>45504</v>
          </cell>
          <cell r="D48">
            <v>0</v>
          </cell>
          <cell r="E48" t="str">
            <v>Cash and cash equivalents</v>
          </cell>
          <cell r="F48">
            <v>0</v>
          </cell>
          <cell r="G48">
            <v>1666.6666666666667</v>
          </cell>
          <cell r="H48" t="str">
            <v>Payment for legal fee - July 2024</v>
          </cell>
        </row>
        <row r="49">
          <cell r="B49">
            <v>45535</v>
          </cell>
          <cell r="D49" t="str">
            <v>Legal fee expense</v>
          </cell>
          <cell r="E49">
            <v>0</v>
          </cell>
          <cell r="F49">
            <v>1666.6666666666667</v>
          </cell>
          <cell r="G49">
            <v>0</v>
          </cell>
          <cell r="H49" t="str">
            <v>Legal fee incurred - August 2024</v>
          </cell>
        </row>
        <row r="50">
          <cell r="B50">
            <v>45535</v>
          </cell>
          <cell r="D50">
            <v>0</v>
          </cell>
          <cell r="E50" t="str">
            <v>Cash and cash equivalents</v>
          </cell>
          <cell r="F50">
            <v>0</v>
          </cell>
          <cell r="G50">
            <v>1666.6666666666667</v>
          </cell>
          <cell r="H50" t="str">
            <v>Payment for legal fee - August 2024</v>
          </cell>
        </row>
        <row r="51">
          <cell r="B51">
            <v>45565</v>
          </cell>
          <cell r="D51" t="str">
            <v>Legal fee expense</v>
          </cell>
          <cell r="E51">
            <v>0</v>
          </cell>
          <cell r="F51">
            <v>1666.6666666666667</v>
          </cell>
          <cell r="G51">
            <v>0</v>
          </cell>
          <cell r="H51" t="str">
            <v>Legal fee incurred - September 2024</v>
          </cell>
        </row>
        <row r="52">
          <cell r="B52">
            <v>45565</v>
          </cell>
          <cell r="D52">
            <v>0</v>
          </cell>
          <cell r="E52" t="str">
            <v>Cash and cash equivalents</v>
          </cell>
          <cell r="F52">
            <v>0</v>
          </cell>
          <cell r="G52">
            <v>1666.6666666666667</v>
          </cell>
          <cell r="H52" t="str">
            <v>Payment for legal fee - September 2024</v>
          </cell>
        </row>
        <row r="53">
          <cell r="B53">
            <v>45596</v>
          </cell>
          <cell r="D53" t="str">
            <v>Legal fee expense</v>
          </cell>
          <cell r="E53">
            <v>0</v>
          </cell>
          <cell r="F53">
            <v>1666.6666666666667</v>
          </cell>
          <cell r="G53">
            <v>0</v>
          </cell>
          <cell r="H53" t="str">
            <v>Legal fee incurred - October 2024</v>
          </cell>
        </row>
        <row r="54">
          <cell r="B54">
            <v>45596</v>
          </cell>
          <cell r="D54">
            <v>0</v>
          </cell>
          <cell r="E54" t="str">
            <v>Cash and cash equivalents</v>
          </cell>
          <cell r="F54">
            <v>0</v>
          </cell>
          <cell r="G54">
            <v>1666.6666666666667</v>
          </cell>
          <cell r="H54" t="str">
            <v>Payment for legal fee - October 2024</v>
          </cell>
        </row>
        <row r="55">
          <cell r="B55">
            <v>45626</v>
          </cell>
          <cell r="D55" t="str">
            <v>Legal fee expense</v>
          </cell>
          <cell r="E55">
            <v>0</v>
          </cell>
          <cell r="F55">
            <v>1666.6666666666667</v>
          </cell>
          <cell r="G55">
            <v>0</v>
          </cell>
          <cell r="H55" t="str">
            <v>Legal fee incurred - November 2024</v>
          </cell>
        </row>
        <row r="56">
          <cell r="B56">
            <v>45626</v>
          </cell>
          <cell r="D56">
            <v>0</v>
          </cell>
          <cell r="E56" t="str">
            <v>Cash and cash equivalents</v>
          </cell>
          <cell r="F56">
            <v>0</v>
          </cell>
          <cell r="G56">
            <v>1666.6666666666667</v>
          </cell>
          <cell r="H56" t="str">
            <v>Payment for legal fee - November 2024</v>
          </cell>
        </row>
        <row r="57">
          <cell r="B57">
            <v>45657</v>
          </cell>
          <cell r="D57" t="str">
            <v>Legal fee expense</v>
          </cell>
          <cell r="E57">
            <v>0</v>
          </cell>
          <cell r="F57">
            <v>1666.6666666666667</v>
          </cell>
          <cell r="G57">
            <v>0</v>
          </cell>
          <cell r="H57" t="str">
            <v>Legal fee incurred - December 2024</v>
          </cell>
        </row>
        <row r="58">
          <cell r="B58">
            <v>45657</v>
          </cell>
          <cell r="D58">
            <v>0</v>
          </cell>
          <cell r="E58" t="str">
            <v>Cash and cash equivalents</v>
          </cell>
          <cell r="F58">
            <v>0</v>
          </cell>
          <cell r="G58">
            <v>1666.6666666666667</v>
          </cell>
          <cell r="H58" t="str">
            <v>Payment for legal fee - December 2024</v>
          </cell>
        </row>
        <row r="59">
          <cell r="B59">
            <v>45322</v>
          </cell>
          <cell r="D59" t="str">
            <v>Director fee expense</v>
          </cell>
          <cell r="E59">
            <v>0</v>
          </cell>
          <cell r="F59">
            <v>666.66666666666663</v>
          </cell>
          <cell r="G59">
            <v>0</v>
          </cell>
          <cell r="H59" t="str">
            <v>Director fee incurred - January 2024</v>
          </cell>
        </row>
        <row r="60">
          <cell r="B60">
            <v>45322</v>
          </cell>
          <cell r="D60">
            <v>0</v>
          </cell>
          <cell r="E60" t="str">
            <v>Cash and cash equivalents</v>
          </cell>
          <cell r="F60">
            <v>0</v>
          </cell>
          <cell r="G60">
            <v>666.66666666666663</v>
          </cell>
          <cell r="H60" t="str">
            <v>Payment for Director fee - January, 2024</v>
          </cell>
        </row>
        <row r="61">
          <cell r="B61">
            <v>45351</v>
          </cell>
          <cell r="D61" t="str">
            <v>Director fee expense</v>
          </cell>
          <cell r="E61">
            <v>0</v>
          </cell>
          <cell r="F61">
            <v>666.66666666666663</v>
          </cell>
          <cell r="G61">
            <v>0</v>
          </cell>
          <cell r="H61" t="str">
            <v>Director fee incurred - February 2024</v>
          </cell>
        </row>
        <row r="62">
          <cell r="B62">
            <v>45351</v>
          </cell>
          <cell r="D62">
            <v>0</v>
          </cell>
          <cell r="E62" t="str">
            <v>Cash and cash equivalents</v>
          </cell>
          <cell r="F62">
            <v>0</v>
          </cell>
          <cell r="G62">
            <v>666.66666666666663</v>
          </cell>
          <cell r="H62" t="str">
            <v>Payment for Director fee - February, 2024</v>
          </cell>
        </row>
        <row r="63">
          <cell r="B63">
            <v>45382</v>
          </cell>
          <cell r="D63" t="str">
            <v>Director fee expense</v>
          </cell>
          <cell r="E63">
            <v>0</v>
          </cell>
          <cell r="F63">
            <v>666.66666666666663</v>
          </cell>
          <cell r="G63">
            <v>0</v>
          </cell>
          <cell r="H63" t="str">
            <v>Director fee incurred - March 2024</v>
          </cell>
        </row>
        <row r="64">
          <cell r="B64">
            <v>45382</v>
          </cell>
          <cell r="D64">
            <v>0</v>
          </cell>
          <cell r="E64" t="str">
            <v>Cash and cash equivalents</v>
          </cell>
          <cell r="F64">
            <v>0</v>
          </cell>
          <cell r="G64">
            <v>666.66666666666663</v>
          </cell>
          <cell r="H64" t="str">
            <v>Payment for Director fee - March, 2024</v>
          </cell>
        </row>
        <row r="65">
          <cell r="B65">
            <v>45412</v>
          </cell>
          <cell r="D65" t="str">
            <v>Director fee expense</v>
          </cell>
          <cell r="E65">
            <v>0</v>
          </cell>
          <cell r="F65">
            <v>666.66666666666663</v>
          </cell>
          <cell r="G65">
            <v>0</v>
          </cell>
          <cell r="H65" t="str">
            <v>Director fee incurred - April 2024</v>
          </cell>
        </row>
        <row r="66">
          <cell r="B66">
            <v>45412</v>
          </cell>
          <cell r="D66">
            <v>0</v>
          </cell>
          <cell r="E66" t="str">
            <v>Cash and cash equivalents</v>
          </cell>
          <cell r="F66">
            <v>0</v>
          </cell>
          <cell r="G66">
            <v>666.66666666666663</v>
          </cell>
          <cell r="H66" t="str">
            <v>Payment for Director fee - April, 2024</v>
          </cell>
        </row>
        <row r="67">
          <cell r="B67">
            <v>45443</v>
          </cell>
          <cell r="D67" t="str">
            <v>Director fee expense</v>
          </cell>
          <cell r="E67">
            <v>0</v>
          </cell>
          <cell r="F67">
            <v>666.66666666666663</v>
          </cell>
          <cell r="G67">
            <v>0</v>
          </cell>
          <cell r="H67" t="str">
            <v>Director fee incurred - May 2024</v>
          </cell>
        </row>
        <row r="68">
          <cell r="B68">
            <v>45443</v>
          </cell>
          <cell r="D68">
            <v>0</v>
          </cell>
          <cell r="E68" t="str">
            <v>Cash and cash equivalents</v>
          </cell>
          <cell r="F68">
            <v>0</v>
          </cell>
          <cell r="G68">
            <v>666.66666666666663</v>
          </cell>
          <cell r="H68" t="str">
            <v>Payment for Director fee - May, 2024</v>
          </cell>
        </row>
        <row r="69">
          <cell r="B69">
            <v>45473</v>
          </cell>
          <cell r="D69" t="str">
            <v>Director fee expense</v>
          </cell>
          <cell r="E69">
            <v>0</v>
          </cell>
          <cell r="F69">
            <v>666.66666666666663</v>
          </cell>
          <cell r="G69">
            <v>0</v>
          </cell>
          <cell r="H69" t="str">
            <v>Director fee incurred - June 2024</v>
          </cell>
        </row>
        <row r="70">
          <cell r="B70">
            <v>45473</v>
          </cell>
          <cell r="D70">
            <v>0</v>
          </cell>
          <cell r="E70" t="str">
            <v>Cash and cash equivalents</v>
          </cell>
          <cell r="F70">
            <v>0</v>
          </cell>
          <cell r="G70">
            <v>666.66666666666663</v>
          </cell>
          <cell r="H70" t="str">
            <v>Payment for Director fee - June, 2024</v>
          </cell>
        </row>
        <row r="71">
          <cell r="B71">
            <v>45504</v>
          </cell>
          <cell r="D71" t="str">
            <v>Director fee expense</v>
          </cell>
          <cell r="E71">
            <v>0</v>
          </cell>
          <cell r="F71">
            <v>666.66666666666663</v>
          </cell>
          <cell r="G71">
            <v>0</v>
          </cell>
          <cell r="H71" t="str">
            <v>Director fee incurred - July 2024</v>
          </cell>
        </row>
        <row r="72">
          <cell r="B72">
            <v>45504</v>
          </cell>
          <cell r="D72">
            <v>0</v>
          </cell>
          <cell r="E72" t="str">
            <v>Cash and cash equivalents</v>
          </cell>
          <cell r="F72">
            <v>0</v>
          </cell>
          <cell r="G72">
            <v>666.66666666666663</v>
          </cell>
          <cell r="H72" t="str">
            <v>Payment for Director fee - July, 2024</v>
          </cell>
        </row>
        <row r="73">
          <cell r="B73">
            <v>45535</v>
          </cell>
          <cell r="D73" t="str">
            <v>Director fee expense</v>
          </cell>
          <cell r="E73">
            <v>0</v>
          </cell>
          <cell r="F73">
            <v>666.66666666666663</v>
          </cell>
          <cell r="G73">
            <v>0</v>
          </cell>
          <cell r="H73" t="str">
            <v>Director fee incurred - August 2024</v>
          </cell>
        </row>
        <row r="74">
          <cell r="B74">
            <v>45535</v>
          </cell>
          <cell r="D74">
            <v>0</v>
          </cell>
          <cell r="E74" t="str">
            <v>Cash and cash equivalents</v>
          </cell>
          <cell r="F74">
            <v>0</v>
          </cell>
          <cell r="G74">
            <v>666.66666666666663</v>
          </cell>
          <cell r="H74" t="str">
            <v>Payment for Director fee - August, 2024</v>
          </cell>
        </row>
        <row r="75">
          <cell r="B75">
            <v>45565</v>
          </cell>
          <cell r="D75" t="str">
            <v>Director fee expense</v>
          </cell>
          <cell r="E75">
            <v>0</v>
          </cell>
          <cell r="F75">
            <v>666.66666666666663</v>
          </cell>
          <cell r="G75">
            <v>0</v>
          </cell>
          <cell r="H75" t="str">
            <v>Director fee incurred - September 2024</v>
          </cell>
        </row>
        <row r="76">
          <cell r="B76">
            <v>45565</v>
          </cell>
          <cell r="D76">
            <v>0</v>
          </cell>
          <cell r="E76" t="str">
            <v>Cash and cash equivalents</v>
          </cell>
          <cell r="F76">
            <v>0</v>
          </cell>
          <cell r="G76">
            <v>666.66666666666663</v>
          </cell>
          <cell r="H76" t="str">
            <v>Payment for Director fee - September, 2024</v>
          </cell>
        </row>
        <row r="77">
          <cell r="B77">
            <v>45596</v>
          </cell>
          <cell r="D77" t="str">
            <v>Director fee expense</v>
          </cell>
          <cell r="E77">
            <v>0</v>
          </cell>
          <cell r="F77">
            <v>666.66666666666663</v>
          </cell>
          <cell r="G77">
            <v>0</v>
          </cell>
          <cell r="H77" t="str">
            <v>Director fee incurred - October 2024</v>
          </cell>
        </row>
        <row r="78">
          <cell r="B78">
            <v>45596</v>
          </cell>
          <cell r="D78">
            <v>0</v>
          </cell>
          <cell r="E78" t="str">
            <v>Cash and cash equivalents</v>
          </cell>
          <cell r="F78">
            <v>0</v>
          </cell>
          <cell r="G78">
            <v>666.66666666666663</v>
          </cell>
          <cell r="H78" t="str">
            <v>Payment for Director fee - October, 2024</v>
          </cell>
        </row>
        <row r="79">
          <cell r="B79">
            <v>45626</v>
          </cell>
          <cell r="D79" t="str">
            <v>Director fee expense</v>
          </cell>
          <cell r="E79">
            <v>0</v>
          </cell>
          <cell r="F79">
            <v>666.66666666666663</v>
          </cell>
          <cell r="G79">
            <v>0</v>
          </cell>
          <cell r="H79" t="str">
            <v>Director fee incurred - November 2024</v>
          </cell>
        </row>
        <row r="80">
          <cell r="B80">
            <v>45626</v>
          </cell>
          <cell r="D80">
            <v>0</v>
          </cell>
          <cell r="E80" t="str">
            <v>Cash and cash equivalents</v>
          </cell>
          <cell r="F80">
            <v>0</v>
          </cell>
          <cell r="G80">
            <v>666.66666666666663</v>
          </cell>
          <cell r="H80" t="str">
            <v>Payment for Director fee - November, 2024</v>
          </cell>
        </row>
        <row r="81">
          <cell r="B81">
            <v>45657</v>
          </cell>
          <cell r="D81" t="str">
            <v>Director fee expense</v>
          </cell>
          <cell r="E81">
            <v>0</v>
          </cell>
          <cell r="F81">
            <v>666.66666666666663</v>
          </cell>
          <cell r="G81">
            <v>0</v>
          </cell>
          <cell r="H81" t="str">
            <v>Director fee incurred - December 2024</v>
          </cell>
        </row>
        <row r="82">
          <cell r="B82">
            <v>45657</v>
          </cell>
          <cell r="D82">
            <v>0</v>
          </cell>
          <cell r="E82" t="str">
            <v>Cash and cash equivalents</v>
          </cell>
          <cell r="F82">
            <v>0</v>
          </cell>
          <cell r="G82">
            <v>666.66666666666663</v>
          </cell>
          <cell r="H82" t="str">
            <v>Payment for Director fee - December, 2024</v>
          </cell>
        </row>
        <row r="83">
          <cell r="B83">
            <v>45322</v>
          </cell>
          <cell r="D83" t="str">
            <v>Compliance fee expense</v>
          </cell>
          <cell r="E83">
            <v>0</v>
          </cell>
          <cell r="F83">
            <v>250</v>
          </cell>
          <cell r="G83">
            <v>0</v>
          </cell>
          <cell r="H83" t="str">
            <v>Compliance fee incurred - January 2024</v>
          </cell>
        </row>
        <row r="84">
          <cell r="B84">
            <v>45322</v>
          </cell>
          <cell r="D84">
            <v>0</v>
          </cell>
          <cell r="E84" t="str">
            <v>Cash and cash equivalents</v>
          </cell>
          <cell r="F84">
            <v>0</v>
          </cell>
          <cell r="G84">
            <v>250</v>
          </cell>
          <cell r="H84" t="str">
            <v>Payment for Compliance fee - January 2024</v>
          </cell>
        </row>
        <row r="85">
          <cell r="B85">
            <v>45351</v>
          </cell>
          <cell r="D85" t="str">
            <v>Compliance fee expense</v>
          </cell>
          <cell r="E85">
            <v>0</v>
          </cell>
          <cell r="F85">
            <v>250</v>
          </cell>
          <cell r="G85">
            <v>0</v>
          </cell>
          <cell r="H85" t="str">
            <v>Compliance fee incurred - February 2024</v>
          </cell>
        </row>
        <row r="86">
          <cell r="B86">
            <v>45351</v>
          </cell>
          <cell r="D86">
            <v>0</v>
          </cell>
          <cell r="E86" t="str">
            <v>Cash and cash equivalents</v>
          </cell>
          <cell r="F86">
            <v>0</v>
          </cell>
          <cell r="G86">
            <v>250</v>
          </cell>
          <cell r="H86" t="str">
            <v>Payment for Compliance fee - February 2024</v>
          </cell>
        </row>
        <row r="87">
          <cell r="B87">
            <v>45382</v>
          </cell>
          <cell r="D87" t="str">
            <v>Compliance fee expense</v>
          </cell>
          <cell r="E87">
            <v>0</v>
          </cell>
          <cell r="F87">
            <v>250</v>
          </cell>
          <cell r="G87">
            <v>0</v>
          </cell>
          <cell r="H87" t="str">
            <v>Compliance fee incurred - March 2024</v>
          </cell>
        </row>
        <row r="88">
          <cell r="B88">
            <v>45382</v>
          </cell>
          <cell r="D88">
            <v>0</v>
          </cell>
          <cell r="E88" t="str">
            <v>Cash and cash equivalents</v>
          </cell>
          <cell r="F88">
            <v>0</v>
          </cell>
          <cell r="G88">
            <v>250</v>
          </cell>
          <cell r="H88" t="str">
            <v>Payment for Compliance fee - March 2024</v>
          </cell>
        </row>
        <row r="89">
          <cell r="B89">
            <v>45412</v>
          </cell>
          <cell r="D89" t="str">
            <v>Compliance fee expense</v>
          </cell>
          <cell r="E89">
            <v>0</v>
          </cell>
          <cell r="F89">
            <v>250</v>
          </cell>
          <cell r="G89">
            <v>0</v>
          </cell>
          <cell r="H89" t="str">
            <v>Compliance fee incurred - April 2024</v>
          </cell>
        </row>
        <row r="90">
          <cell r="B90">
            <v>45412</v>
          </cell>
          <cell r="D90">
            <v>0</v>
          </cell>
          <cell r="E90" t="str">
            <v>Cash and cash equivalents</v>
          </cell>
          <cell r="F90">
            <v>0</v>
          </cell>
          <cell r="G90">
            <v>250</v>
          </cell>
          <cell r="H90" t="str">
            <v>Payment for Compliance fee - April 2024</v>
          </cell>
        </row>
        <row r="91">
          <cell r="B91">
            <v>45443</v>
          </cell>
          <cell r="D91" t="str">
            <v>Compliance fee expense</v>
          </cell>
          <cell r="E91">
            <v>0</v>
          </cell>
          <cell r="F91">
            <v>250</v>
          </cell>
          <cell r="G91">
            <v>0</v>
          </cell>
          <cell r="H91" t="str">
            <v>Compliance fee incurred - May 2024</v>
          </cell>
        </row>
        <row r="92">
          <cell r="B92">
            <v>45443</v>
          </cell>
          <cell r="D92">
            <v>0</v>
          </cell>
          <cell r="E92" t="str">
            <v>Cash and cash equivalents</v>
          </cell>
          <cell r="F92">
            <v>0</v>
          </cell>
          <cell r="G92">
            <v>250</v>
          </cell>
          <cell r="H92" t="str">
            <v>Payment for Compliance fee - May 2024</v>
          </cell>
        </row>
        <row r="93">
          <cell r="B93">
            <v>45473</v>
          </cell>
          <cell r="D93" t="str">
            <v>Compliance fee expense</v>
          </cell>
          <cell r="E93">
            <v>0</v>
          </cell>
          <cell r="F93">
            <v>250</v>
          </cell>
          <cell r="G93">
            <v>0</v>
          </cell>
          <cell r="H93" t="str">
            <v>Compliance fee incurred - June 2024</v>
          </cell>
        </row>
        <row r="94">
          <cell r="B94">
            <v>45473</v>
          </cell>
          <cell r="D94">
            <v>0</v>
          </cell>
          <cell r="E94" t="str">
            <v>Cash and cash equivalents</v>
          </cell>
          <cell r="F94">
            <v>0</v>
          </cell>
          <cell r="G94">
            <v>250</v>
          </cell>
          <cell r="H94" t="str">
            <v>Payment for Compliance fee - June 2024</v>
          </cell>
        </row>
        <row r="95">
          <cell r="B95">
            <v>45504</v>
          </cell>
          <cell r="D95" t="str">
            <v>Compliance fee expense</v>
          </cell>
          <cell r="E95">
            <v>0</v>
          </cell>
          <cell r="F95">
            <v>250</v>
          </cell>
          <cell r="G95">
            <v>0</v>
          </cell>
          <cell r="H95" t="str">
            <v>Compliance fee incurred - July 2024</v>
          </cell>
        </row>
        <row r="96">
          <cell r="B96">
            <v>45504</v>
          </cell>
          <cell r="D96">
            <v>0</v>
          </cell>
          <cell r="E96" t="str">
            <v>Cash and cash equivalents</v>
          </cell>
          <cell r="F96">
            <v>0</v>
          </cell>
          <cell r="G96">
            <v>250</v>
          </cell>
          <cell r="H96" t="str">
            <v>Payment for Compliance fee - July 2024</v>
          </cell>
        </row>
        <row r="97">
          <cell r="B97">
            <v>45535</v>
          </cell>
          <cell r="D97" t="str">
            <v>Compliance fee expense</v>
          </cell>
          <cell r="E97">
            <v>0</v>
          </cell>
          <cell r="F97">
            <v>250</v>
          </cell>
          <cell r="G97">
            <v>0</v>
          </cell>
          <cell r="H97" t="str">
            <v>Compliance fee incurred - August 2024</v>
          </cell>
        </row>
        <row r="98">
          <cell r="B98">
            <v>45535</v>
          </cell>
          <cell r="D98">
            <v>0</v>
          </cell>
          <cell r="E98" t="str">
            <v>Cash and cash equivalents</v>
          </cell>
          <cell r="F98">
            <v>0</v>
          </cell>
          <cell r="G98">
            <v>250</v>
          </cell>
          <cell r="H98" t="str">
            <v>Payment for Compliance fee - August 2024</v>
          </cell>
        </row>
        <row r="99">
          <cell r="B99">
            <v>45565</v>
          </cell>
          <cell r="D99" t="str">
            <v>Compliance fee expense</v>
          </cell>
          <cell r="E99">
            <v>0</v>
          </cell>
          <cell r="F99">
            <v>250</v>
          </cell>
          <cell r="G99">
            <v>0</v>
          </cell>
          <cell r="H99" t="str">
            <v>Compliance fee incurred - September 2024</v>
          </cell>
        </row>
        <row r="100">
          <cell r="B100">
            <v>45565</v>
          </cell>
          <cell r="D100">
            <v>0</v>
          </cell>
          <cell r="E100" t="str">
            <v>Cash and cash equivalents</v>
          </cell>
          <cell r="F100">
            <v>0</v>
          </cell>
          <cell r="G100">
            <v>250</v>
          </cell>
          <cell r="H100" t="str">
            <v>Payment for Compliance fee - September 2024</v>
          </cell>
        </row>
        <row r="101">
          <cell r="B101">
            <v>45596</v>
          </cell>
          <cell r="D101" t="str">
            <v>Compliance fee expense</v>
          </cell>
          <cell r="E101">
            <v>0</v>
          </cell>
          <cell r="F101">
            <v>250</v>
          </cell>
          <cell r="G101">
            <v>0</v>
          </cell>
          <cell r="H101" t="str">
            <v>Compliance fee incurred - October 2024</v>
          </cell>
        </row>
        <row r="102">
          <cell r="B102">
            <v>45596</v>
          </cell>
          <cell r="D102">
            <v>0</v>
          </cell>
          <cell r="E102" t="str">
            <v>Cash and cash equivalents</v>
          </cell>
          <cell r="F102">
            <v>0</v>
          </cell>
          <cell r="G102">
            <v>250</v>
          </cell>
          <cell r="H102" t="str">
            <v>Payment for Compliance fee - October 2024</v>
          </cell>
        </row>
        <row r="103">
          <cell r="B103">
            <v>45626</v>
          </cell>
          <cell r="D103" t="str">
            <v>Compliance fee expense</v>
          </cell>
          <cell r="E103">
            <v>0</v>
          </cell>
          <cell r="F103">
            <v>250</v>
          </cell>
          <cell r="G103">
            <v>0</v>
          </cell>
          <cell r="H103" t="str">
            <v>Compliance fee incurred - November 2024</v>
          </cell>
        </row>
        <row r="104">
          <cell r="B104">
            <v>45626</v>
          </cell>
          <cell r="D104">
            <v>0</v>
          </cell>
          <cell r="E104" t="str">
            <v>Cash and cash equivalents</v>
          </cell>
          <cell r="F104">
            <v>0</v>
          </cell>
          <cell r="G104">
            <v>250</v>
          </cell>
          <cell r="H104" t="str">
            <v>Payment for Compliance fee - November 2024</v>
          </cell>
        </row>
        <row r="105">
          <cell r="B105">
            <v>45657</v>
          </cell>
          <cell r="D105" t="str">
            <v>Compliance fee expense</v>
          </cell>
          <cell r="E105">
            <v>0</v>
          </cell>
          <cell r="F105">
            <v>250</v>
          </cell>
          <cell r="G105">
            <v>0</v>
          </cell>
          <cell r="H105" t="str">
            <v>Compliance fee incurred - December 2024</v>
          </cell>
        </row>
        <row r="106">
          <cell r="B106">
            <v>45657</v>
          </cell>
          <cell r="D106">
            <v>0</v>
          </cell>
          <cell r="E106" t="str">
            <v>Cash and cash equivalents</v>
          </cell>
          <cell r="F106">
            <v>0</v>
          </cell>
          <cell r="G106">
            <v>250</v>
          </cell>
          <cell r="H106" t="str">
            <v>Payment for Compliance fee - December 2024</v>
          </cell>
        </row>
        <row r="107">
          <cell r="B107">
            <v>45322</v>
          </cell>
          <cell r="D107" t="str">
            <v>Data market fee expense</v>
          </cell>
          <cell r="E107">
            <v>0</v>
          </cell>
          <cell r="F107">
            <v>833.33333333333337</v>
          </cell>
          <cell r="G107">
            <v>0</v>
          </cell>
          <cell r="H107" t="str">
            <v>Data market fee incurred - January 2024</v>
          </cell>
        </row>
        <row r="108">
          <cell r="B108">
            <v>45322</v>
          </cell>
          <cell r="D108">
            <v>0</v>
          </cell>
          <cell r="E108" t="str">
            <v>Cash and cash equivalents</v>
          </cell>
          <cell r="F108">
            <v>0</v>
          </cell>
          <cell r="G108">
            <v>833.33333333333337</v>
          </cell>
          <cell r="H108" t="str">
            <v>Payment for Data Service fee - January 2024</v>
          </cell>
        </row>
        <row r="109">
          <cell r="B109">
            <v>45351</v>
          </cell>
          <cell r="D109" t="str">
            <v>Data market fee expense</v>
          </cell>
          <cell r="E109">
            <v>0</v>
          </cell>
          <cell r="F109">
            <v>833.33333333333337</v>
          </cell>
          <cell r="G109">
            <v>0</v>
          </cell>
          <cell r="H109" t="str">
            <v>Data market fee incurred - February 2024</v>
          </cell>
        </row>
        <row r="110">
          <cell r="B110">
            <v>45351</v>
          </cell>
          <cell r="D110">
            <v>0</v>
          </cell>
          <cell r="E110" t="str">
            <v>Cash and cash equivalents</v>
          </cell>
          <cell r="F110">
            <v>0</v>
          </cell>
          <cell r="G110">
            <v>833.33333333333337</v>
          </cell>
          <cell r="H110" t="str">
            <v>Payment for Data Service fee - February 2024</v>
          </cell>
        </row>
        <row r="111">
          <cell r="B111">
            <v>45382</v>
          </cell>
          <cell r="D111" t="str">
            <v>Data market fee expense</v>
          </cell>
          <cell r="E111">
            <v>0</v>
          </cell>
          <cell r="F111">
            <v>833.33333333333337</v>
          </cell>
          <cell r="G111">
            <v>0</v>
          </cell>
          <cell r="H111" t="str">
            <v>Data market fee incurred - March 2024</v>
          </cell>
        </row>
        <row r="112">
          <cell r="B112">
            <v>45382</v>
          </cell>
          <cell r="D112">
            <v>0</v>
          </cell>
          <cell r="E112" t="str">
            <v>Cash and cash equivalents</v>
          </cell>
          <cell r="F112">
            <v>0</v>
          </cell>
          <cell r="G112">
            <v>833.33333333333337</v>
          </cell>
          <cell r="H112" t="str">
            <v>Payment for Data Service fee - March 2024</v>
          </cell>
        </row>
        <row r="113">
          <cell r="B113">
            <v>45412</v>
          </cell>
          <cell r="D113" t="str">
            <v>Data market fee expense</v>
          </cell>
          <cell r="E113">
            <v>0</v>
          </cell>
          <cell r="F113">
            <v>833.33333333333337</v>
          </cell>
          <cell r="G113">
            <v>0</v>
          </cell>
          <cell r="H113" t="str">
            <v>Data market fee incurred - April 2024</v>
          </cell>
        </row>
        <row r="114">
          <cell r="B114">
            <v>45412</v>
          </cell>
          <cell r="D114">
            <v>0</v>
          </cell>
          <cell r="E114" t="str">
            <v>Cash and cash equivalents</v>
          </cell>
          <cell r="F114">
            <v>0</v>
          </cell>
          <cell r="G114">
            <v>833.33333333333337</v>
          </cell>
          <cell r="H114" t="str">
            <v>Payment for Data Service fee - April 2024</v>
          </cell>
        </row>
        <row r="115">
          <cell r="B115">
            <v>45443</v>
          </cell>
          <cell r="D115" t="str">
            <v>Data market fee expense</v>
          </cell>
          <cell r="E115">
            <v>0</v>
          </cell>
          <cell r="F115">
            <v>833.33333333333337</v>
          </cell>
          <cell r="G115">
            <v>0</v>
          </cell>
          <cell r="H115" t="str">
            <v>Data market fee incurred - May 2024</v>
          </cell>
        </row>
        <row r="116">
          <cell r="B116">
            <v>45443</v>
          </cell>
          <cell r="D116">
            <v>0</v>
          </cell>
          <cell r="E116" t="str">
            <v>Cash and cash equivalents</v>
          </cell>
          <cell r="F116">
            <v>0</v>
          </cell>
          <cell r="G116">
            <v>833.33333333333337</v>
          </cell>
          <cell r="H116" t="str">
            <v>Payment for Data Service fee - May 2024</v>
          </cell>
        </row>
        <row r="117">
          <cell r="B117">
            <v>45473</v>
          </cell>
          <cell r="D117" t="str">
            <v>Data market fee expense</v>
          </cell>
          <cell r="E117">
            <v>0</v>
          </cell>
          <cell r="F117">
            <v>833.33333333333337</v>
          </cell>
          <cell r="G117">
            <v>0</v>
          </cell>
          <cell r="H117" t="str">
            <v>Data market fee incurred - June 2024</v>
          </cell>
        </row>
        <row r="118">
          <cell r="B118">
            <v>45473</v>
          </cell>
          <cell r="D118">
            <v>0</v>
          </cell>
          <cell r="E118" t="str">
            <v>Cash and cash equivalents</v>
          </cell>
          <cell r="F118">
            <v>0</v>
          </cell>
          <cell r="G118">
            <v>833.33333333333337</v>
          </cell>
          <cell r="H118" t="str">
            <v>Payment for Data Service fee - June 2024</v>
          </cell>
        </row>
        <row r="119">
          <cell r="B119">
            <v>45504</v>
          </cell>
          <cell r="D119" t="str">
            <v>Data market fee expense</v>
          </cell>
          <cell r="E119">
            <v>0</v>
          </cell>
          <cell r="F119">
            <v>833.33333333333337</v>
          </cell>
          <cell r="G119">
            <v>0</v>
          </cell>
          <cell r="H119" t="str">
            <v>Data market fee incurred - July 2024</v>
          </cell>
        </row>
        <row r="120">
          <cell r="B120">
            <v>45504</v>
          </cell>
          <cell r="D120">
            <v>0</v>
          </cell>
          <cell r="E120" t="str">
            <v>Cash and cash equivalents</v>
          </cell>
          <cell r="F120">
            <v>0</v>
          </cell>
          <cell r="G120">
            <v>833.33333333333337</v>
          </cell>
          <cell r="H120" t="str">
            <v>Payment for Data Service fee - July 2024</v>
          </cell>
        </row>
        <row r="121">
          <cell r="B121">
            <v>45535</v>
          </cell>
          <cell r="D121" t="str">
            <v>Data market fee expense</v>
          </cell>
          <cell r="E121">
            <v>0</v>
          </cell>
          <cell r="F121">
            <v>833.33333333333337</v>
          </cell>
          <cell r="G121">
            <v>0</v>
          </cell>
          <cell r="H121" t="str">
            <v>Data market fee incurred - August 2024</v>
          </cell>
        </row>
        <row r="122">
          <cell r="B122">
            <v>45535</v>
          </cell>
          <cell r="D122">
            <v>0</v>
          </cell>
          <cell r="E122" t="str">
            <v>Cash and cash equivalents</v>
          </cell>
          <cell r="F122">
            <v>0</v>
          </cell>
          <cell r="G122">
            <v>833.33333333333337</v>
          </cell>
          <cell r="H122" t="str">
            <v>Payment for Data Service fee - August 2024</v>
          </cell>
        </row>
        <row r="123">
          <cell r="B123">
            <v>45565</v>
          </cell>
          <cell r="D123" t="str">
            <v>Data market fee expense</v>
          </cell>
          <cell r="E123">
            <v>0</v>
          </cell>
          <cell r="F123">
            <v>833.33333333333337</v>
          </cell>
          <cell r="G123">
            <v>0</v>
          </cell>
          <cell r="H123" t="str">
            <v>Data market fee incurred - September 2024</v>
          </cell>
        </row>
        <row r="124">
          <cell r="B124">
            <v>45565</v>
          </cell>
          <cell r="D124">
            <v>0</v>
          </cell>
          <cell r="E124" t="str">
            <v>Cash and cash equivalents</v>
          </cell>
          <cell r="F124">
            <v>0</v>
          </cell>
          <cell r="G124">
            <v>833.33333333333337</v>
          </cell>
          <cell r="H124" t="str">
            <v>Payment for Data Service fee - September 2024</v>
          </cell>
        </row>
        <row r="125">
          <cell r="B125">
            <v>45596</v>
          </cell>
          <cell r="D125" t="str">
            <v>Data market fee expense</v>
          </cell>
          <cell r="E125">
            <v>0</v>
          </cell>
          <cell r="F125">
            <v>833.33333333333337</v>
          </cell>
          <cell r="G125">
            <v>0</v>
          </cell>
          <cell r="H125" t="str">
            <v>Data market fee incurred - October 2024</v>
          </cell>
        </row>
        <row r="126">
          <cell r="B126">
            <v>45596</v>
          </cell>
          <cell r="D126">
            <v>0</v>
          </cell>
          <cell r="E126" t="str">
            <v>Cash and cash equivalents</v>
          </cell>
          <cell r="F126">
            <v>0</v>
          </cell>
          <cell r="G126">
            <v>833.33333333333337</v>
          </cell>
          <cell r="H126" t="str">
            <v>Payment for Data Service fee - October 2024</v>
          </cell>
        </row>
        <row r="127">
          <cell r="B127">
            <v>45626</v>
          </cell>
          <cell r="D127" t="str">
            <v>Data market fee expense</v>
          </cell>
          <cell r="E127">
            <v>0</v>
          </cell>
          <cell r="F127">
            <v>833.33333333333337</v>
          </cell>
          <cell r="G127">
            <v>0</v>
          </cell>
          <cell r="H127" t="str">
            <v>Data market fee incurred - November 2024</v>
          </cell>
        </row>
        <row r="128">
          <cell r="B128">
            <v>45626</v>
          </cell>
          <cell r="D128">
            <v>0</v>
          </cell>
          <cell r="E128" t="str">
            <v>Cash and cash equivalents</v>
          </cell>
          <cell r="F128">
            <v>0</v>
          </cell>
          <cell r="G128">
            <v>833.33333333333337</v>
          </cell>
          <cell r="H128" t="str">
            <v>Payment for Data Service fee - November 2024</v>
          </cell>
        </row>
        <row r="129">
          <cell r="B129">
            <v>45657</v>
          </cell>
          <cell r="D129" t="str">
            <v>Data market fee expense</v>
          </cell>
          <cell r="E129">
            <v>0</v>
          </cell>
          <cell r="F129">
            <v>833.33333333333337</v>
          </cell>
          <cell r="G129">
            <v>0</v>
          </cell>
          <cell r="H129" t="str">
            <v>Data market fee incurred - December 2024</v>
          </cell>
        </row>
        <row r="130">
          <cell r="B130">
            <v>45657</v>
          </cell>
          <cell r="D130">
            <v>0</v>
          </cell>
          <cell r="E130" t="str">
            <v>Cash and cash equivalents</v>
          </cell>
          <cell r="F130">
            <v>0</v>
          </cell>
          <cell r="G130">
            <v>833.33333333333337</v>
          </cell>
          <cell r="H130" t="str">
            <v>Payment for Data Service fee - December 2024</v>
          </cell>
        </row>
        <row r="131">
          <cell r="B131">
            <v>45322</v>
          </cell>
          <cell r="D131" t="str">
            <v>Fund administration expense</v>
          </cell>
          <cell r="E131">
            <v>0</v>
          </cell>
          <cell r="F131">
            <v>5000</v>
          </cell>
          <cell r="G131">
            <v>0</v>
          </cell>
          <cell r="H131" t="str">
            <v>Fund admin expenses - January 2024</v>
          </cell>
        </row>
        <row r="132">
          <cell r="B132">
            <v>45322</v>
          </cell>
          <cell r="D132">
            <v>0</v>
          </cell>
          <cell r="E132" t="str">
            <v>Accrued expenses</v>
          </cell>
          <cell r="F132">
            <v>0</v>
          </cell>
          <cell r="G132">
            <v>5000</v>
          </cell>
          <cell r="H132" t="str">
            <v>Accrued fund administration expenses - January 2024</v>
          </cell>
        </row>
        <row r="133">
          <cell r="B133">
            <v>45351</v>
          </cell>
          <cell r="D133" t="str">
            <v>Fund administration expense</v>
          </cell>
          <cell r="E133">
            <v>0</v>
          </cell>
          <cell r="F133">
            <v>5000</v>
          </cell>
          <cell r="G133">
            <v>0</v>
          </cell>
          <cell r="H133" t="str">
            <v>Fund admin expenses - February 2024</v>
          </cell>
        </row>
        <row r="134">
          <cell r="B134">
            <v>45351</v>
          </cell>
          <cell r="D134">
            <v>0</v>
          </cell>
          <cell r="E134" t="str">
            <v>Accrued expenses</v>
          </cell>
          <cell r="F134">
            <v>0</v>
          </cell>
          <cell r="G134">
            <v>5000</v>
          </cell>
          <cell r="H134" t="str">
            <v>Accrued fund administration expenses - February 2024</v>
          </cell>
        </row>
        <row r="135">
          <cell r="B135">
            <v>45382</v>
          </cell>
          <cell r="D135" t="str">
            <v>Fund administration expense</v>
          </cell>
          <cell r="E135">
            <v>0</v>
          </cell>
          <cell r="F135">
            <v>5000</v>
          </cell>
          <cell r="G135">
            <v>0</v>
          </cell>
          <cell r="H135" t="str">
            <v>Fund admin expenses - March 2024</v>
          </cell>
        </row>
        <row r="136">
          <cell r="B136">
            <v>45382</v>
          </cell>
          <cell r="D136">
            <v>0</v>
          </cell>
          <cell r="E136" t="str">
            <v>Accrued expenses</v>
          </cell>
          <cell r="F136">
            <v>0</v>
          </cell>
          <cell r="G136">
            <v>5000</v>
          </cell>
          <cell r="H136" t="str">
            <v>Accrued fund administration expenses - March 2024</v>
          </cell>
        </row>
        <row r="137">
          <cell r="B137">
            <v>45412</v>
          </cell>
          <cell r="D137" t="str">
            <v>Fund administration expense</v>
          </cell>
          <cell r="E137">
            <v>0</v>
          </cell>
          <cell r="F137">
            <v>5000</v>
          </cell>
          <cell r="G137">
            <v>0</v>
          </cell>
          <cell r="H137" t="str">
            <v>Fund admin expenses - April 2024</v>
          </cell>
        </row>
        <row r="138">
          <cell r="B138">
            <v>45412</v>
          </cell>
          <cell r="D138">
            <v>0</v>
          </cell>
          <cell r="E138" t="str">
            <v>Accrued expenses</v>
          </cell>
          <cell r="F138">
            <v>0</v>
          </cell>
          <cell r="G138">
            <v>5000</v>
          </cell>
          <cell r="H138" t="str">
            <v>Accrued fund administration expenses - April 2024</v>
          </cell>
        </row>
        <row r="139">
          <cell r="B139">
            <v>45443</v>
          </cell>
          <cell r="D139" t="str">
            <v>Fund administration expense</v>
          </cell>
          <cell r="E139">
            <v>0</v>
          </cell>
          <cell r="F139">
            <v>5000</v>
          </cell>
          <cell r="G139">
            <v>0</v>
          </cell>
          <cell r="H139" t="str">
            <v>Fund admin expenses - May 2024</v>
          </cell>
        </row>
        <row r="140">
          <cell r="B140">
            <v>45443</v>
          </cell>
          <cell r="D140">
            <v>0</v>
          </cell>
          <cell r="E140" t="str">
            <v>Accrued expenses</v>
          </cell>
          <cell r="F140">
            <v>0</v>
          </cell>
          <cell r="G140">
            <v>5000</v>
          </cell>
          <cell r="H140" t="str">
            <v>Accrued fund administration expenses - May 2024</v>
          </cell>
        </row>
        <row r="141">
          <cell r="B141">
            <v>45473</v>
          </cell>
          <cell r="D141" t="str">
            <v>Fund administration expense</v>
          </cell>
          <cell r="E141">
            <v>0</v>
          </cell>
          <cell r="F141">
            <v>5000</v>
          </cell>
          <cell r="G141">
            <v>0</v>
          </cell>
          <cell r="H141" t="str">
            <v>Fund admin expenses - June 2024</v>
          </cell>
        </row>
        <row r="142">
          <cell r="B142">
            <v>45473</v>
          </cell>
          <cell r="D142">
            <v>0</v>
          </cell>
          <cell r="E142" t="str">
            <v>Accrued expenses</v>
          </cell>
          <cell r="F142">
            <v>0</v>
          </cell>
          <cell r="G142">
            <v>5000</v>
          </cell>
          <cell r="H142" t="str">
            <v>Accrued fund administration expenses - June 2024</v>
          </cell>
        </row>
        <row r="143">
          <cell r="B143">
            <v>45504</v>
          </cell>
          <cell r="D143" t="str">
            <v>Fund administration expense</v>
          </cell>
          <cell r="E143">
            <v>0</v>
          </cell>
          <cell r="F143">
            <v>5000</v>
          </cell>
          <cell r="G143">
            <v>0</v>
          </cell>
          <cell r="H143" t="str">
            <v>Fund admin expenses - July 2024</v>
          </cell>
        </row>
        <row r="144">
          <cell r="B144">
            <v>45504</v>
          </cell>
          <cell r="D144">
            <v>0</v>
          </cell>
          <cell r="E144" t="str">
            <v>Accrued expenses</v>
          </cell>
          <cell r="F144">
            <v>0</v>
          </cell>
          <cell r="G144">
            <v>5000</v>
          </cell>
          <cell r="H144" t="str">
            <v>Accrued fund administration expenses - July 2024</v>
          </cell>
        </row>
        <row r="145">
          <cell r="B145">
            <v>45535</v>
          </cell>
          <cell r="D145" t="str">
            <v>Fund administration expense</v>
          </cell>
          <cell r="E145">
            <v>0</v>
          </cell>
          <cell r="F145">
            <v>5000</v>
          </cell>
          <cell r="G145">
            <v>0</v>
          </cell>
          <cell r="H145" t="str">
            <v>Fund admin expenses - August 2024</v>
          </cell>
        </row>
        <row r="146">
          <cell r="B146">
            <v>45535</v>
          </cell>
          <cell r="D146">
            <v>0</v>
          </cell>
          <cell r="E146" t="str">
            <v>Accrued expenses</v>
          </cell>
          <cell r="F146">
            <v>0</v>
          </cell>
          <cell r="G146">
            <v>5000</v>
          </cell>
          <cell r="H146" t="str">
            <v>Accrued fund administration expenses - August 2024</v>
          </cell>
        </row>
        <row r="147">
          <cell r="B147">
            <v>45565</v>
          </cell>
          <cell r="D147" t="str">
            <v>Fund administration expense</v>
          </cell>
          <cell r="E147">
            <v>0</v>
          </cell>
          <cell r="F147">
            <v>5000</v>
          </cell>
          <cell r="G147">
            <v>0</v>
          </cell>
          <cell r="H147" t="str">
            <v>Fund admin expenses - September 2024</v>
          </cell>
        </row>
        <row r="148">
          <cell r="B148">
            <v>45565</v>
          </cell>
          <cell r="D148">
            <v>0</v>
          </cell>
          <cell r="E148" t="str">
            <v>Accrued expenses</v>
          </cell>
          <cell r="F148">
            <v>0</v>
          </cell>
          <cell r="G148">
            <v>5000</v>
          </cell>
          <cell r="H148" t="str">
            <v>Accrued fund administration expenses - September 2024</v>
          </cell>
        </row>
        <row r="149">
          <cell r="B149">
            <v>45596</v>
          </cell>
          <cell r="D149" t="str">
            <v>Fund administration expense</v>
          </cell>
          <cell r="E149">
            <v>0</v>
          </cell>
          <cell r="F149">
            <v>5000</v>
          </cell>
          <cell r="G149">
            <v>0</v>
          </cell>
          <cell r="H149" t="str">
            <v>Fund admin expenses - October 2024</v>
          </cell>
        </row>
        <row r="150">
          <cell r="B150">
            <v>45596</v>
          </cell>
          <cell r="D150">
            <v>0</v>
          </cell>
          <cell r="E150" t="str">
            <v>Accrued expenses</v>
          </cell>
          <cell r="F150">
            <v>0</v>
          </cell>
          <cell r="G150">
            <v>5000</v>
          </cell>
          <cell r="H150" t="str">
            <v>Accrued fund administration expenses - October 2024</v>
          </cell>
        </row>
        <row r="151">
          <cell r="B151">
            <v>45626</v>
          </cell>
          <cell r="D151" t="str">
            <v>Fund administration expense</v>
          </cell>
          <cell r="E151">
            <v>0</v>
          </cell>
          <cell r="F151">
            <v>5000</v>
          </cell>
          <cell r="G151">
            <v>0</v>
          </cell>
          <cell r="H151" t="str">
            <v>Fund admin expenses - November 2024</v>
          </cell>
        </row>
        <row r="152">
          <cell r="B152">
            <v>45626</v>
          </cell>
          <cell r="D152">
            <v>0</v>
          </cell>
          <cell r="E152" t="str">
            <v>Accrued expenses</v>
          </cell>
          <cell r="F152">
            <v>0</v>
          </cell>
          <cell r="G152">
            <v>5000</v>
          </cell>
          <cell r="H152" t="str">
            <v>Accrued fund administration expenses - November 2024</v>
          </cell>
        </row>
        <row r="153">
          <cell r="B153">
            <v>45657</v>
          </cell>
          <cell r="D153" t="str">
            <v>Fund administration expense</v>
          </cell>
          <cell r="E153">
            <v>0</v>
          </cell>
          <cell r="F153">
            <v>5000</v>
          </cell>
          <cell r="G153">
            <v>0</v>
          </cell>
          <cell r="H153" t="str">
            <v>Fund admin expenses - December 2024</v>
          </cell>
        </row>
        <row r="154">
          <cell r="B154">
            <v>45657</v>
          </cell>
          <cell r="D154">
            <v>0</v>
          </cell>
          <cell r="E154" t="str">
            <v>Accrued expenses</v>
          </cell>
          <cell r="F154">
            <v>0</v>
          </cell>
          <cell r="G154">
            <v>5000</v>
          </cell>
          <cell r="H154" t="str">
            <v>Accrued fund administration expenses - December 2024</v>
          </cell>
        </row>
        <row r="155">
          <cell r="B155">
            <v>45657</v>
          </cell>
          <cell r="D155" t="str">
            <v>Accrued expenses</v>
          </cell>
          <cell r="E155">
            <v>0</v>
          </cell>
          <cell r="F155">
            <v>60000</v>
          </cell>
          <cell r="G155">
            <v>0</v>
          </cell>
          <cell r="H155" t="str">
            <v>Annual fund administration service fee for 2024</v>
          </cell>
        </row>
        <row r="156">
          <cell r="B156">
            <v>45657</v>
          </cell>
          <cell r="D156">
            <v>0</v>
          </cell>
          <cell r="E156" t="str">
            <v>Fund administration fee payable</v>
          </cell>
          <cell r="F156">
            <v>0</v>
          </cell>
          <cell r="G156">
            <v>60000</v>
          </cell>
          <cell r="H156" t="str">
            <v>Payment for annual fund administration services rendered</v>
          </cell>
        </row>
        <row r="157">
          <cell r="B157">
            <v>45337</v>
          </cell>
          <cell r="D157" t="str">
            <v>Due diligence fee expense</v>
          </cell>
          <cell r="E157">
            <v>0</v>
          </cell>
          <cell r="F157">
            <v>75000</v>
          </cell>
          <cell r="G157">
            <v>0</v>
          </cell>
          <cell r="H157" t="str">
            <v>Due diligence fee expense incurred in February 2024</v>
          </cell>
        </row>
        <row r="158">
          <cell r="B158">
            <v>45337</v>
          </cell>
          <cell r="D158">
            <v>0</v>
          </cell>
          <cell r="E158" t="str">
            <v>Due diligence fee payable</v>
          </cell>
          <cell r="F158">
            <v>0</v>
          </cell>
          <cell r="G158">
            <v>75000</v>
          </cell>
          <cell r="H158" t="str">
            <v>Payment of Due diligence fee expense incurred in February 2024</v>
          </cell>
        </row>
        <row r="159">
          <cell r="B159">
            <v>45382</v>
          </cell>
          <cell r="D159" t="str">
            <v>Due diligence fee payable</v>
          </cell>
          <cell r="E159">
            <v>0</v>
          </cell>
          <cell r="F159">
            <v>75000</v>
          </cell>
          <cell r="G159">
            <v>0</v>
          </cell>
          <cell r="H159" t="str">
            <v>Due diligence fee expense incurred in March 2024</v>
          </cell>
        </row>
        <row r="160">
          <cell r="B160">
            <v>45382</v>
          </cell>
          <cell r="D160">
            <v>0</v>
          </cell>
          <cell r="E160" t="str">
            <v>Cash and cash equivalents</v>
          </cell>
          <cell r="F160">
            <v>0</v>
          </cell>
          <cell r="G160">
            <v>75000</v>
          </cell>
          <cell r="H160" t="str">
            <v>Payment of Due diligence fee expense incurred in March 2024</v>
          </cell>
        </row>
        <row r="161">
          <cell r="B161">
            <v>45321</v>
          </cell>
          <cell r="D161" t="str">
            <v>Other professional fee expense</v>
          </cell>
          <cell r="E161">
            <v>0</v>
          </cell>
          <cell r="F161">
            <v>2500</v>
          </cell>
          <cell r="G161">
            <v>0</v>
          </cell>
          <cell r="H161" t="str">
            <v>Other monthly operational costs - January 2024</v>
          </cell>
        </row>
        <row r="162">
          <cell r="B162">
            <v>45321</v>
          </cell>
          <cell r="D162">
            <v>0</v>
          </cell>
          <cell r="E162" t="str">
            <v>Cash and cash equivalents</v>
          </cell>
          <cell r="F162">
            <v>0</v>
          </cell>
          <cell r="G162">
            <v>2500</v>
          </cell>
          <cell r="H162" t="str">
            <v>Other monthly operational costs - January 2024</v>
          </cell>
        </row>
        <row r="163">
          <cell r="B163">
            <v>45351</v>
          </cell>
          <cell r="D163" t="str">
            <v>Other professional fee expense</v>
          </cell>
          <cell r="E163">
            <v>0</v>
          </cell>
          <cell r="F163">
            <v>2500</v>
          </cell>
          <cell r="G163">
            <v>0</v>
          </cell>
          <cell r="H163" t="str">
            <v>Other monthly operational costs - February 2024</v>
          </cell>
        </row>
        <row r="164">
          <cell r="B164">
            <v>45351</v>
          </cell>
          <cell r="D164">
            <v>0</v>
          </cell>
          <cell r="E164" t="str">
            <v>Cash and cash equivalents</v>
          </cell>
          <cell r="F164">
            <v>0</v>
          </cell>
          <cell r="G164">
            <v>2500</v>
          </cell>
          <cell r="H164" t="str">
            <v>Other monthly operational costs - February 2024</v>
          </cell>
        </row>
        <row r="165">
          <cell r="B165">
            <v>45382</v>
          </cell>
          <cell r="D165" t="str">
            <v>Other professional fee expense</v>
          </cell>
          <cell r="E165">
            <v>0</v>
          </cell>
          <cell r="F165">
            <v>2500</v>
          </cell>
          <cell r="G165">
            <v>0</v>
          </cell>
          <cell r="H165" t="str">
            <v>Other monthly operational costs - March 2024</v>
          </cell>
        </row>
        <row r="166">
          <cell r="B166">
            <v>45382</v>
          </cell>
          <cell r="D166">
            <v>0</v>
          </cell>
          <cell r="E166" t="str">
            <v>Cash and cash equivalents</v>
          </cell>
          <cell r="F166">
            <v>0</v>
          </cell>
          <cell r="G166">
            <v>2500</v>
          </cell>
          <cell r="H166" t="str">
            <v>Other monthly operational costs - March 2024</v>
          </cell>
        </row>
        <row r="167">
          <cell r="B167">
            <v>45412</v>
          </cell>
          <cell r="D167" t="str">
            <v>Other professional fee expense</v>
          </cell>
          <cell r="E167">
            <v>0</v>
          </cell>
          <cell r="F167">
            <v>2500</v>
          </cell>
          <cell r="G167">
            <v>0</v>
          </cell>
          <cell r="H167" t="str">
            <v>Other monthly operational costs - April 2024</v>
          </cell>
        </row>
        <row r="168">
          <cell r="B168">
            <v>45412</v>
          </cell>
          <cell r="D168">
            <v>0</v>
          </cell>
          <cell r="E168" t="str">
            <v>Cash and cash equivalents</v>
          </cell>
          <cell r="F168">
            <v>0</v>
          </cell>
          <cell r="G168">
            <v>2500</v>
          </cell>
          <cell r="H168" t="str">
            <v>Other monthly operational costs - April 2024</v>
          </cell>
        </row>
        <row r="169">
          <cell r="B169">
            <v>45443</v>
          </cell>
          <cell r="D169" t="str">
            <v>Other professional fee expense</v>
          </cell>
          <cell r="E169">
            <v>0</v>
          </cell>
          <cell r="F169">
            <v>2500</v>
          </cell>
          <cell r="G169">
            <v>0</v>
          </cell>
          <cell r="H169" t="str">
            <v>Other monthly operational costs - May 2024</v>
          </cell>
        </row>
        <row r="170">
          <cell r="B170">
            <v>45443</v>
          </cell>
          <cell r="D170">
            <v>0</v>
          </cell>
          <cell r="E170" t="str">
            <v>Cash and cash equivalents</v>
          </cell>
          <cell r="F170">
            <v>0</v>
          </cell>
          <cell r="G170">
            <v>2500</v>
          </cell>
          <cell r="H170" t="str">
            <v>Other monthly operational costs - May 2024</v>
          </cell>
        </row>
        <row r="171">
          <cell r="B171">
            <v>45473</v>
          </cell>
          <cell r="D171" t="str">
            <v>Other professional fee expense</v>
          </cell>
          <cell r="E171">
            <v>0</v>
          </cell>
          <cell r="F171">
            <v>2500</v>
          </cell>
          <cell r="G171">
            <v>0</v>
          </cell>
          <cell r="H171" t="str">
            <v>Other monthly operational costs - June 2024</v>
          </cell>
        </row>
        <row r="172">
          <cell r="B172">
            <v>45473</v>
          </cell>
          <cell r="D172">
            <v>0</v>
          </cell>
          <cell r="E172" t="str">
            <v>Cash and cash equivalents</v>
          </cell>
          <cell r="F172">
            <v>0</v>
          </cell>
          <cell r="G172">
            <v>2500</v>
          </cell>
          <cell r="H172" t="str">
            <v>Other monthly operational costs - June 2024</v>
          </cell>
        </row>
        <row r="173">
          <cell r="B173">
            <v>45504</v>
          </cell>
          <cell r="D173" t="str">
            <v>Other professional fee expense</v>
          </cell>
          <cell r="E173">
            <v>0</v>
          </cell>
          <cell r="F173">
            <v>2500</v>
          </cell>
          <cell r="G173">
            <v>0</v>
          </cell>
          <cell r="H173" t="str">
            <v>Other monthly operational costs - July 2024</v>
          </cell>
        </row>
        <row r="174">
          <cell r="B174">
            <v>45504</v>
          </cell>
          <cell r="D174">
            <v>0</v>
          </cell>
          <cell r="E174" t="str">
            <v>Cash and cash equivalents</v>
          </cell>
          <cell r="F174">
            <v>0</v>
          </cell>
          <cell r="G174">
            <v>2500</v>
          </cell>
          <cell r="H174" t="str">
            <v>Other monthly operational costs - July 2024</v>
          </cell>
        </row>
        <row r="175">
          <cell r="B175">
            <v>45535</v>
          </cell>
          <cell r="D175" t="str">
            <v>Other professional fee expense</v>
          </cell>
          <cell r="E175">
            <v>0</v>
          </cell>
          <cell r="F175">
            <v>2500</v>
          </cell>
          <cell r="G175">
            <v>0</v>
          </cell>
          <cell r="H175" t="str">
            <v>Other monthly operational costs - August 2024</v>
          </cell>
        </row>
        <row r="176">
          <cell r="B176">
            <v>45535</v>
          </cell>
          <cell r="D176">
            <v>0</v>
          </cell>
          <cell r="E176" t="str">
            <v>Cash and cash equivalents</v>
          </cell>
          <cell r="F176">
            <v>0</v>
          </cell>
          <cell r="G176">
            <v>2500</v>
          </cell>
          <cell r="H176" t="str">
            <v>Other monthly operational costs - August 2024</v>
          </cell>
        </row>
        <row r="177">
          <cell r="B177">
            <v>45565</v>
          </cell>
          <cell r="D177" t="str">
            <v>Other professional fee expense</v>
          </cell>
          <cell r="E177">
            <v>0</v>
          </cell>
          <cell r="F177">
            <v>2500</v>
          </cell>
          <cell r="G177">
            <v>0</v>
          </cell>
          <cell r="H177" t="str">
            <v>Other monthly operational costs - September 2024</v>
          </cell>
        </row>
        <row r="178">
          <cell r="B178">
            <v>45565</v>
          </cell>
          <cell r="D178">
            <v>0</v>
          </cell>
          <cell r="E178" t="str">
            <v>Cash and cash equivalents</v>
          </cell>
          <cell r="F178">
            <v>0</v>
          </cell>
          <cell r="G178">
            <v>2500</v>
          </cell>
          <cell r="H178" t="str">
            <v>Other monthly operational costs - September 2024</v>
          </cell>
        </row>
        <row r="179">
          <cell r="B179">
            <v>45596</v>
          </cell>
          <cell r="D179" t="str">
            <v>Other professional fee expense</v>
          </cell>
          <cell r="E179">
            <v>0</v>
          </cell>
          <cell r="F179">
            <v>2500</v>
          </cell>
          <cell r="G179">
            <v>0</v>
          </cell>
          <cell r="H179" t="str">
            <v>Other monthly operational costs - October 2024</v>
          </cell>
        </row>
        <row r="180">
          <cell r="B180">
            <v>45596</v>
          </cell>
          <cell r="D180">
            <v>0</v>
          </cell>
          <cell r="E180" t="str">
            <v>Cash and cash equivalents</v>
          </cell>
          <cell r="F180">
            <v>0</v>
          </cell>
          <cell r="G180">
            <v>2500</v>
          </cell>
          <cell r="H180" t="str">
            <v>Other monthly operational costs - October 2024</v>
          </cell>
        </row>
        <row r="181">
          <cell r="B181">
            <v>45626</v>
          </cell>
          <cell r="D181" t="str">
            <v>Other professional fee expense</v>
          </cell>
          <cell r="E181">
            <v>0</v>
          </cell>
          <cell r="F181">
            <v>2500</v>
          </cell>
          <cell r="G181">
            <v>0</v>
          </cell>
          <cell r="H181" t="str">
            <v>Other monthly operational costs - November 2024</v>
          </cell>
        </row>
        <row r="182">
          <cell r="B182">
            <v>45626</v>
          </cell>
          <cell r="D182">
            <v>0</v>
          </cell>
          <cell r="E182" t="str">
            <v>Cash and cash equivalents</v>
          </cell>
          <cell r="F182">
            <v>0</v>
          </cell>
          <cell r="G182">
            <v>2500</v>
          </cell>
          <cell r="H182" t="str">
            <v>Other monthly operational costs - November 2024</v>
          </cell>
        </row>
        <row r="183">
          <cell r="B183">
            <v>45657</v>
          </cell>
          <cell r="D183" t="str">
            <v>Other professional fee expense</v>
          </cell>
          <cell r="E183">
            <v>0</v>
          </cell>
          <cell r="F183">
            <v>2500</v>
          </cell>
          <cell r="G183">
            <v>0</v>
          </cell>
          <cell r="H183" t="str">
            <v>Other monthly operational costs - December 2024</v>
          </cell>
        </row>
        <row r="184">
          <cell r="B184">
            <v>45657</v>
          </cell>
          <cell r="D184">
            <v>0</v>
          </cell>
          <cell r="E184" t="str">
            <v>Cash and cash equivalents</v>
          </cell>
          <cell r="F184">
            <v>0</v>
          </cell>
          <cell r="G184">
            <v>2500</v>
          </cell>
          <cell r="H184" t="str">
            <v>Other monthly operational costs - December 2024</v>
          </cell>
        </row>
        <row r="185">
          <cell r="B185">
            <v>45351</v>
          </cell>
          <cell r="D185" t="str">
            <v>Cash and cash equivalents</v>
          </cell>
          <cell r="E185">
            <v>0</v>
          </cell>
          <cell r="F185">
            <v>18333.333333333332</v>
          </cell>
          <cell r="G185">
            <v>0</v>
          </cell>
          <cell r="H185" t="str">
            <v>Monthly distribution received from laundromat investment - February 2024</v>
          </cell>
        </row>
        <row r="186">
          <cell r="B186">
            <v>45351</v>
          </cell>
          <cell r="D186">
            <v>0</v>
          </cell>
          <cell r="E186" t="str">
            <v>Dividend Income</v>
          </cell>
          <cell r="F186">
            <v>0</v>
          </cell>
          <cell r="G186">
            <v>18333.333333333332</v>
          </cell>
          <cell r="H186" t="str">
            <v>Monthly distribution recognized from laundromat investment - February 2024</v>
          </cell>
        </row>
        <row r="187">
          <cell r="B187">
            <v>45382</v>
          </cell>
          <cell r="D187" t="str">
            <v>Cash and cash equivalents</v>
          </cell>
          <cell r="E187">
            <v>0</v>
          </cell>
          <cell r="F187">
            <v>18333.333333333332</v>
          </cell>
          <cell r="G187">
            <v>0</v>
          </cell>
          <cell r="H187" t="str">
            <v>Monthly distribution received from laundromat investment - March 2024</v>
          </cell>
        </row>
        <row r="188">
          <cell r="B188">
            <v>45382</v>
          </cell>
          <cell r="D188">
            <v>0</v>
          </cell>
          <cell r="E188" t="str">
            <v>Dividend Income</v>
          </cell>
          <cell r="F188">
            <v>0</v>
          </cell>
          <cell r="G188">
            <v>18333.333333333332</v>
          </cell>
          <cell r="H188" t="str">
            <v>Monthly distribution recognized from laundromat investment - March 2024</v>
          </cell>
        </row>
        <row r="189">
          <cell r="B189">
            <v>45412</v>
          </cell>
          <cell r="D189" t="str">
            <v>Cash and cash equivalents</v>
          </cell>
          <cell r="E189">
            <v>0</v>
          </cell>
          <cell r="F189">
            <v>18333.333333333332</v>
          </cell>
          <cell r="G189">
            <v>0</v>
          </cell>
          <cell r="H189" t="str">
            <v>Monthly distribution received from laundromat investment - April 2024</v>
          </cell>
        </row>
        <row r="190">
          <cell r="B190">
            <v>45412</v>
          </cell>
          <cell r="D190">
            <v>0</v>
          </cell>
          <cell r="E190" t="str">
            <v>Dividend Income</v>
          </cell>
          <cell r="F190">
            <v>0</v>
          </cell>
          <cell r="G190">
            <v>18333.333333333332</v>
          </cell>
          <cell r="H190" t="str">
            <v>Monthly distribution recognized from laundromat investment - April 2024</v>
          </cell>
        </row>
        <row r="191">
          <cell r="B191">
            <v>45443</v>
          </cell>
          <cell r="D191" t="str">
            <v>Cash and cash equivalents</v>
          </cell>
          <cell r="E191">
            <v>0</v>
          </cell>
          <cell r="F191">
            <v>18333.333333333332</v>
          </cell>
          <cell r="G191">
            <v>0</v>
          </cell>
          <cell r="H191" t="str">
            <v>Monthly distribution received from laundromat investment - May 2024</v>
          </cell>
        </row>
        <row r="192">
          <cell r="B192">
            <v>45443</v>
          </cell>
          <cell r="D192">
            <v>0</v>
          </cell>
          <cell r="E192" t="str">
            <v>Dividend Income</v>
          </cell>
          <cell r="F192">
            <v>0</v>
          </cell>
          <cell r="G192">
            <v>18333.333333333332</v>
          </cell>
          <cell r="H192" t="str">
            <v>Monthly distribution recognized from laundromat investment - May 2024</v>
          </cell>
        </row>
        <row r="193">
          <cell r="B193">
            <v>45473</v>
          </cell>
          <cell r="D193" t="str">
            <v>Cash and cash equivalents</v>
          </cell>
          <cell r="E193">
            <v>0</v>
          </cell>
          <cell r="F193">
            <v>18333.333333333332</v>
          </cell>
          <cell r="G193">
            <v>0</v>
          </cell>
          <cell r="H193" t="str">
            <v>Monthly distribution received from laundromat investment - June 2024</v>
          </cell>
        </row>
        <row r="194">
          <cell r="B194">
            <v>45473</v>
          </cell>
          <cell r="D194">
            <v>0</v>
          </cell>
          <cell r="E194" t="str">
            <v>Dividend Income</v>
          </cell>
          <cell r="F194">
            <v>0</v>
          </cell>
          <cell r="G194">
            <v>18333.333333333332</v>
          </cell>
          <cell r="H194" t="str">
            <v>Monthly distribution recognized from laundromat investment - June 2024</v>
          </cell>
        </row>
        <row r="195">
          <cell r="B195">
            <v>45504</v>
          </cell>
          <cell r="D195" t="str">
            <v>Cash and cash equivalents</v>
          </cell>
          <cell r="E195">
            <v>0</v>
          </cell>
          <cell r="F195">
            <v>18333.333333333332</v>
          </cell>
          <cell r="G195">
            <v>0</v>
          </cell>
          <cell r="H195" t="str">
            <v>Monthly distribution received from laundromat investment - July 2024</v>
          </cell>
        </row>
        <row r="196">
          <cell r="B196">
            <v>45504</v>
          </cell>
          <cell r="D196">
            <v>0</v>
          </cell>
          <cell r="E196" t="str">
            <v>Dividend Income</v>
          </cell>
          <cell r="F196">
            <v>0</v>
          </cell>
          <cell r="G196">
            <v>18333.333333333332</v>
          </cell>
          <cell r="H196" t="str">
            <v>Monthly distribution recognized from laundromat investment - July 2024</v>
          </cell>
        </row>
        <row r="197">
          <cell r="B197">
            <v>45535</v>
          </cell>
          <cell r="D197" t="str">
            <v>Cash and cash equivalents</v>
          </cell>
          <cell r="E197">
            <v>0</v>
          </cell>
          <cell r="F197">
            <v>18333.333333333332</v>
          </cell>
          <cell r="G197">
            <v>0</v>
          </cell>
          <cell r="H197" t="str">
            <v>Monthly distribution received from laundromat investment - August 2024</v>
          </cell>
        </row>
        <row r="198">
          <cell r="B198">
            <v>45535</v>
          </cell>
          <cell r="D198">
            <v>0</v>
          </cell>
          <cell r="E198" t="str">
            <v>Dividend Income</v>
          </cell>
          <cell r="F198">
            <v>0</v>
          </cell>
          <cell r="G198">
            <v>18333.333333333332</v>
          </cell>
          <cell r="H198" t="str">
            <v>Monthly distribution recognized from laundromat investment - August 2024</v>
          </cell>
        </row>
        <row r="199">
          <cell r="B199">
            <v>45565</v>
          </cell>
          <cell r="D199" t="str">
            <v>Cash and cash equivalents</v>
          </cell>
          <cell r="E199">
            <v>0</v>
          </cell>
          <cell r="F199">
            <v>18333.333333333332</v>
          </cell>
          <cell r="G199">
            <v>0</v>
          </cell>
          <cell r="H199" t="str">
            <v>Monthly distribution received from laundromat investment - September 2024</v>
          </cell>
        </row>
        <row r="200">
          <cell r="B200">
            <v>45565</v>
          </cell>
          <cell r="D200">
            <v>0</v>
          </cell>
          <cell r="E200" t="str">
            <v>Dividend Income</v>
          </cell>
          <cell r="F200">
            <v>0</v>
          </cell>
          <cell r="G200">
            <v>18333.333333333332</v>
          </cell>
          <cell r="H200" t="str">
            <v>Monthly distribution recognized from laundromat investment - September 2024</v>
          </cell>
        </row>
        <row r="201">
          <cell r="B201">
            <v>45596</v>
          </cell>
          <cell r="D201" t="str">
            <v>Cash and cash equivalents</v>
          </cell>
          <cell r="E201">
            <v>0</v>
          </cell>
          <cell r="F201">
            <v>18333.333333333332</v>
          </cell>
          <cell r="G201">
            <v>0</v>
          </cell>
          <cell r="H201" t="str">
            <v>Monthly distribution received from laundromat investment - October 2024</v>
          </cell>
        </row>
        <row r="202">
          <cell r="B202">
            <v>45596</v>
          </cell>
          <cell r="D202">
            <v>0</v>
          </cell>
          <cell r="E202" t="str">
            <v>Dividend Income</v>
          </cell>
          <cell r="F202">
            <v>0</v>
          </cell>
          <cell r="G202">
            <v>18333.333333333332</v>
          </cell>
          <cell r="H202" t="str">
            <v>Monthly distribution recognized from laundromat investment - October 2024</v>
          </cell>
        </row>
        <row r="203">
          <cell r="B203">
            <v>45626</v>
          </cell>
          <cell r="D203" t="str">
            <v>Cash and cash equivalents</v>
          </cell>
          <cell r="E203">
            <v>0</v>
          </cell>
          <cell r="F203">
            <v>18333.333333333332</v>
          </cell>
          <cell r="G203">
            <v>0</v>
          </cell>
          <cell r="H203" t="str">
            <v>Monthly distribution received from laundromat investment - November 2024</v>
          </cell>
        </row>
        <row r="204">
          <cell r="B204">
            <v>45626</v>
          </cell>
          <cell r="D204">
            <v>0</v>
          </cell>
          <cell r="E204" t="str">
            <v>Dividend Income</v>
          </cell>
          <cell r="F204">
            <v>0</v>
          </cell>
          <cell r="G204">
            <v>18333.333333333332</v>
          </cell>
          <cell r="H204" t="str">
            <v>Monthly distribution recognized from laundromat investment - November 2024</v>
          </cell>
        </row>
        <row r="205">
          <cell r="B205">
            <v>45657</v>
          </cell>
          <cell r="D205" t="str">
            <v>Cash and cash equivalents</v>
          </cell>
          <cell r="E205">
            <v>0</v>
          </cell>
          <cell r="F205">
            <v>18333.333333333332</v>
          </cell>
          <cell r="G205">
            <v>0</v>
          </cell>
          <cell r="H205" t="str">
            <v>Monthly distribution received from laundromat investment - December 2024</v>
          </cell>
        </row>
        <row r="206">
          <cell r="B206">
            <v>45657</v>
          </cell>
          <cell r="D206">
            <v>0</v>
          </cell>
          <cell r="E206" t="str">
            <v>Dividend Income</v>
          </cell>
          <cell r="F206">
            <v>0</v>
          </cell>
          <cell r="G206">
            <v>18333.333333333332</v>
          </cell>
          <cell r="H206" t="str">
            <v>Monthly distribution recognized from laundromat investment - December 2024</v>
          </cell>
        </row>
        <row r="207">
          <cell r="B207">
            <v>45473</v>
          </cell>
          <cell r="D207" t="str">
            <v>Cash and cash equivalents</v>
          </cell>
          <cell r="E207">
            <v>0</v>
          </cell>
          <cell r="F207">
            <v>8333.3333333333339</v>
          </cell>
          <cell r="G207">
            <v>0</v>
          </cell>
          <cell r="H207" t="str">
            <v>Prorated quarterly dividend received</v>
          </cell>
        </row>
        <row r="208">
          <cell r="B208">
            <v>45473</v>
          </cell>
          <cell r="D208">
            <v>0</v>
          </cell>
          <cell r="E208" t="str">
            <v>Dividend Income</v>
          </cell>
          <cell r="F208">
            <v>0</v>
          </cell>
          <cell r="G208">
            <v>8333.3333333333339</v>
          </cell>
          <cell r="H208" t="str">
            <v>Prorated quarterly dividend income</v>
          </cell>
        </row>
        <row r="209">
          <cell r="B209">
            <v>45565</v>
          </cell>
          <cell r="D209" t="str">
            <v>Cash and cash equivalents</v>
          </cell>
          <cell r="E209">
            <v>0</v>
          </cell>
          <cell r="F209">
            <v>25000</v>
          </cell>
          <cell r="G209">
            <v>0</v>
          </cell>
          <cell r="H209" t="str">
            <v>Quarterly dividend received</v>
          </cell>
        </row>
        <row r="210">
          <cell r="B210">
            <v>45565</v>
          </cell>
          <cell r="D210">
            <v>0</v>
          </cell>
          <cell r="E210" t="str">
            <v>Dividend Income</v>
          </cell>
          <cell r="F210">
            <v>0</v>
          </cell>
          <cell r="G210">
            <v>25000</v>
          </cell>
          <cell r="H210" t="str">
            <v>Quarterly dividend income</v>
          </cell>
        </row>
        <row r="211">
          <cell r="B211">
            <v>45657</v>
          </cell>
          <cell r="D211" t="str">
            <v>Cash and cash equivalents</v>
          </cell>
          <cell r="E211">
            <v>0</v>
          </cell>
          <cell r="F211">
            <v>25000</v>
          </cell>
          <cell r="G211">
            <v>0</v>
          </cell>
          <cell r="H211" t="str">
            <v>Quarterly dividend received</v>
          </cell>
        </row>
        <row r="212">
          <cell r="B212">
            <v>45657</v>
          </cell>
          <cell r="D212">
            <v>0</v>
          </cell>
          <cell r="E212" t="str">
            <v>Dividend Income</v>
          </cell>
          <cell r="F212">
            <v>0</v>
          </cell>
          <cell r="G212">
            <v>25000</v>
          </cell>
          <cell r="H212" t="str">
            <v>Quarterly dividend income</v>
          </cell>
        </row>
        <row r="213">
          <cell r="B213">
            <v>45473</v>
          </cell>
          <cell r="D213" t="str">
            <v>Cash and cash equivalents</v>
          </cell>
          <cell r="E213">
            <v>0</v>
          </cell>
          <cell r="F213">
            <v>62672.730922861701</v>
          </cell>
          <cell r="G213">
            <v>0</v>
          </cell>
          <cell r="H213" t="str">
            <v>E-commerce interest income received - June 2024</v>
          </cell>
        </row>
        <row r="214">
          <cell r="B214">
            <v>45473</v>
          </cell>
          <cell r="D214">
            <v>0</v>
          </cell>
          <cell r="E214" t="str">
            <v>Loan/Notes receivable</v>
          </cell>
          <cell r="F214">
            <v>0</v>
          </cell>
          <cell r="G214">
            <v>49339.397589528366</v>
          </cell>
          <cell r="H214" t="str">
            <v>Loan/Notes receivable adjustment - June 2024</v>
          </cell>
        </row>
        <row r="215">
          <cell r="B215">
            <v>45473</v>
          </cell>
          <cell r="D215">
            <v>0</v>
          </cell>
          <cell r="E215" t="str">
            <v>Interest Income</v>
          </cell>
          <cell r="F215">
            <v>0</v>
          </cell>
          <cell r="G215">
            <v>13333.333333333334</v>
          </cell>
          <cell r="H215" t="str">
            <v>Interest income earned for the period - June 2024</v>
          </cell>
        </row>
        <row r="216">
          <cell r="B216">
            <v>45504</v>
          </cell>
          <cell r="D216" t="str">
            <v>Cash and cash equivalents</v>
          </cell>
          <cell r="E216">
            <v>0</v>
          </cell>
          <cell r="F216">
            <v>62672.730922861701</v>
          </cell>
          <cell r="G216">
            <v>0</v>
          </cell>
          <cell r="H216" t="str">
            <v>E-commerce interest income received - July 2024</v>
          </cell>
        </row>
        <row r="217">
          <cell r="B217">
            <v>45504</v>
          </cell>
          <cell r="D217">
            <v>0</v>
          </cell>
          <cell r="E217" t="str">
            <v>Loan/Notes receivable</v>
          </cell>
          <cell r="F217">
            <v>0</v>
          </cell>
          <cell r="G217">
            <v>49668.326906791888</v>
          </cell>
          <cell r="H217" t="str">
            <v>Loan/Notes receivable adjustment - July 2024</v>
          </cell>
        </row>
        <row r="218">
          <cell r="B218">
            <v>45504</v>
          </cell>
          <cell r="D218">
            <v>0</v>
          </cell>
          <cell r="E218" t="str">
            <v>Interest Income</v>
          </cell>
          <cell r="F218">
            <v>0</v>
          </cell>
          <cell r="G218">
            <v>13004.404016069811</v>
          </cell>
          <cell r="H218" t="str">
            <v>Interest income earned for the period - July 2024</v>
          </cell>
        </row>
        <row r="219">
          <cell r="B219">
            <v>45535</v>
          </cell>
          <cell r="D219" t="str">
            <v>Cash and cash equivalents</v>
          </cell>
          <cell r="E219">
            <v>0</v>
          </cell>
          <cell r="F219">
            <v>62672.730922861701</v>
          </cell>
          <cell r="G219">
            <v>0</v>
          </cell>
          <cell r="H219" t="str">
            <v>E-commerce interest income received - August 2024</v>
          </cell>
        </row>
        <row r="220">
          <cell r="B220">
            <v>45535</v>
          </cell>
          <cell r="D220">
            <v>0</v>
          </cell>
          <cell r="E220" t="str">
            <v>Loan/Notes receivable</v>
          </cell>
          <cell r="F220">
            <v>0</v>
          </cell>
          <cell r="G220">
            <v>49999.449086170505</v>
          </cell>
          <cell r="H220" t="str">
            <v>Loan/Notes receivable adjustment - August 2024</v>
          </cell>
        </row>
        <row r="221">
          <cell r="B221">
            <v>45535</v>
          </cell>
          <cell r="D221">
            <v>0</v>
          </cell>
          <cell r="E221" t="str">
            <v>Interest Income</v>
          </cell>
          <cell r="F221">
            <v>0</v>
          </cell>
          <cell r="G221">
            <v>12673.281836691198</v>
          </cell>
          <cell r="H221" t="str">
            <v>Interest income earned for the period - August 2024</v>
          </cell>
        </row>
        <row r="222">
          <cell r="B222">
            <v>45565</v>
          </cell>
          <cell r="D222" t="str">
            <v>Cash and cash equivalents</v>
          </cell>
          <cell r="E222">
            <v>0</v>
          </cell>
          <cell r="F222">
            <v>62672.730922861701</v>
          </cell>
          <cell r="G222">
            <v>0</v>
          </cell>
          <cell r="H222" t="str">
            <v>E-commerce interest income received - September 2024</v>
          </cell>
        </row>
        <row r="223">
          <cell r="B223">
            <v>45565</v>
          </cell>
          <cell r="D223">
            <v>0</v>
          </cell>
          <cell r="E223" t="str">
            <v>Loan/Notes receivable</v>
          </cell>
          <cell r="F223">
            <v>0</v>
          </cell>
          <cell r="G223">
            <v>50332.778746744974</v>
          </cell>
          <cell r="H223" t="str">
            <v>Loan/Notes receivable adjustment - September 2024</v>
          </cell>
        </row>
        <row r="224">
          <cell r="B224">
            <v>45565</v>
          </cell>
          <cell r="D224">
            <v>0</v>
          </cell>
          <cell r="E224" t="str">
            <v>Interest Income</v>
          </cell>
          <cell r="F224">
            <v>0</v>
          </cell>
          <cell r="G224">
            <v>12339.952176116729</v>
          </cell>
          <cell r="H224" t="str">
            <v>Interest income earned for the period - September 2024</v>
          </cell>
        </row>
        <row r="225">
          <cell r="B225">
            <v>45596</v>
          </cell>
          <cell r="D225" t="str">
            <v>Cash and cash equivalents</v>
          </cell>
          <cell r="E225">
            <v>0</v>
          </cell>
          <cell r="F225">
            <v>62672.730922861701</v>
          </cell>
          <cell r="G225">
            <v>0</v>
          </cell>
          <cell r="H225" t="str">
            <v>E-commerce interest income received - October 2024</v>
          </cell>
        </row>
        <row r="226">
          <cell r="B226">
            <v>45596</v>
          </cell>
          <cell r="D226">
            <v>0</v>
          </cell>
          <cell r="E226" t="str">
            <v>Loan/Notes receivable</v>
          </cell>
          <cell r="F226">
            <v>0</v>
          </cell>
          <cell r="G226">
            <v>50668.33060505661</v>
          </cell>
          <cell r="H226" t="str">
            <v>Loan/Notes receivable adjustment - October 2024</v>
          </cell>
        </row>
        <row r="227">
          <cell r="B227">
            <v>45596</v>
          </cell>
          <cell r="D227">
            <v>0</v>
          </cell>
          <cell r="E227" t="str">
            <v>Interest Income</v>
          </cell>
          <cell r="F227">
            <v>0</v>
          </cell>
          <cell r="G227">
            <v>12004.400317805093</v>
          </cell>
          <cell r="H227" t="str">
            <v>Interest income earned for the period - October 2024</v>
          </cell>
        </row>
        <row r="228">
          <cell r="B228">
            <v>45626</v>
          </cell>
          <cell r="D228" t="str">
            <v>Cash and cash equivalents</v>
          </cell>
          <cell r="E228">
            <v>0</v>
          </cell>
          <cell r="F228">
            <v>62672.730922861701</v>
          </cell>
          <cell r="G228">
            <v>0</v>
          </cell>
          <cell r="H228" t="str">
            <v>E-commerce interest income received - November 2024</v>
          </cell>
        </row>
        <row r="229">
          <cell r="B229">
            <v>45626</v>
          </cell>
          <cell r="D229">
            <v>0</v>
          </cell>
          <cell r="E229" t="str">
            <v>Loan/Notes receivable</v>
          </cell>
          <cell r="F229">
            <v>0</v>
          </cell>
          <cell r="G229">
            <v>51006.119475756983</v>
          </cell>
          <cell r="H229" t="str">
            <v>Loan/Notes receivable adjustment - November 2024</v>
          </cell>
        </row>
        <row r="230">
          <cell r="B230">
            <v>45626</v>
          </cell>
          <cell r="D230">
            <v>0</v>
          </cell>
          <cell r="E230" t="str">
            <v>Interest Income</v>
          </cell>
          <cell r="F230">
            <v>0</v>
          </cell>
          <cell r="G230">
            <v>11666.611447104717</v>
          </cell>
          <cell r="H230" t="str">
            <v>Interest income earned for the period - November 2024</v>
          </cell>
        </row>
        <row r="231">
          <cell r="B231">
            <v>45657</v>
          </cell>
          <cell r="D231" t="str">
            <v>Cash and cash equivalents</v>
          </cell>
          <cell r="E231">
            <v>0</v>
          </cell>
          <cell r="F231">
            <v>62672.730922861701</v>
          </cell>
          <cell r="G231">
            <v>0</v>
          </cell>
          <cell r="H231" t="str">
            <v>E-commerce interest income received - December 2024</v>
          </cell>
        </row>
        <row r="232">
          <cell r="B232">
            <v>45657</v>
          </cell>
          <cell r="D232">
            <v>0</v>
          </cell>
          <cell r="E232" t="str">
            <v>Loan/Notes receivable</v>
          </cell>
          <cell r="F232">
            <v>0</v>
          </cell>
          <cell r="G232">
            <v>51346.16027226203</v>
          </cell>
          <cell r="H232" t="str">
            <v>Loan/Notes receivable adjustment - December 2024</v>
          </cell>
        </row>
        <row r="233">
          <cell r="B233">
            <v>45657</v>
          </cell>
          <cell r="D233">
            <v>0</v>
          </cell>
          <cell r="E233" t="str">
            <v>Interest Income</v>
          </cell>
          <cell r="F233">
            <v>0</v>
          </cell>
          <cell r="G233">
            <v>11326.570650599671</v>
          </cell>
          <cell r="H233" t="str">
            <v>Interest income earned for the period - December 2024</v>
          </cell>
        </row>
        <row r="234">
          <cell r="B234">
            <v>45473</v>
          </cell>
          <cell r="D234" t="str">
            <v>Cash and cash equivalents</v>
          </cell>
          <cell r="E234">
            <v>0</v>
          </cell>
          <cell r="F234">
            <v>71369.790259076195</v>
          </cell>
          <cell r="G234">
            <v>0</v>
          </cell>
          <cell r="H234" t="str">
            <v>Apartment Construction Loan interest income received - June 2024</v>
          </cell>
        </row>
        <row r="235">
          <cell r="B235">
            <v>45473</v>
          </cell>
          <cell r="D235">
            <v>0</v>
          </cell>
          <cell r="E235" t="str">
            <v>Loan/Notes receivable</v>
          </cell>
          <cell r="F235">
            <v>0</v>
          </cell>
          <cell r="G235">
            <v>33869.790259076195</v>
          </cell>
          <cell r="H235" t="str">
            <v>Apartment Construction Loan/Notes receivable adjustment - June 2024</v>
          </cell>
        </row>
        <row r="236">
          <cell r="B236">
            <v>45473</v>
          </cell>
          <cell r="D236">
            <v>0</v>
          </cell>
          <cell r="E236" t="str">
            <v>Interest Income</v>
          </cell>
          <cell r="F236">
            <v>0</v>
          </cell>
          <cell r="G236">
            <v>37500</v>
          </cell>
          <cell r="H236" t="str">
            <v>Apartment Construction Loan Interest income earned for the period - June 2024</v>
          </cell>
        </row>
        <row r="237">
          <cell r="B237">
            <v>45504</v>
          </cell>
          <cell r="D237" t="str">
            <v>Cash and cash equivalents</v>
          </cell>
          <cell r="E237">
            <v>0</v>
          </cell>
          <cell r="F237">
            <v>71369.790259076195</v>
          </cell>
          <cell r="G237">
            <v>0</v>
          </cell>
          <cell r="H237" t="str">
            <v>Apartment Construction Loan interest income received - July 2024</v>
          </cell>
        </row>
        <row r="238">
          <cell r="B238">
            <v>45504</v>
          </cell>
          <cell r="D238">
            <v>0</v>
          </cell>
          <cell r="E238" t="str">
            <v>Loan/Notes receivable</v>
          </cell>
          <cell r="F238">
            <v>0</v>
          </cell>
          <cell r="G238">
            <v>34293.16263731465</v>
          </cell>
          <cell r="H238" t="str">
            <v>Apartment Construction Loan/Notes receivable adjustment - July 2024</v>
          </cell>
        </row>
        <row r="239">
          <cell r="B239">
            <v>45504</v>
          </cell>
          <cell r="D239">
            <v>0</v>
          </cell>
          <cell r="E239" t="str">
            <v>Interest Income</v>
          </cell>
          <cell r="F239">
            <v>0</v>
          </cell>
          <cell r="G239">
            <v>37076.627621761545</v>
          </cell>
          <cell r="H239" t="str">
            <v>Apartment Construction Loan Interest income earned for the period - July 2024</v>
          </cell>
        </row>
        <row r="240">
          <cell r="B240">
            <v>45535</v>
          </cell>
          <cell r="D240" t="str">
            <v>Cash and cash equivalents</v>
          </cell>
          <cell r="E240">
            <v>0</v>
          </cell>
          <cell r="F240">
            <v>71369.790259076195</v>
          </cell>
          <cell r="G240">
            <v>0</v>
          </cell>
          <cell r="H240" t="str">
            <v>Apartment Construction Loan interest income received - August 2024</v>
          </cell>
        </row>
        <row r="241">
          <cell r="B241">
            <v>45535</v>
          </cell>
          <cell r="D241">
            <v>0</v>
          </cell>
          <cell r="E241" t="str">
            <v>Loan/Notes receivable</v>
          </cell>
          <cell r="F241">
            <v>0</v>
          </cell>
          <cell r="G241">
            <v>34721.827170281082</v>
          </cell>
          <cell r="H241" t="str">
            <v>Apartment Construction Loan/Notes receivable adjustment - August 2024</v>
          </cell>
        </row>
        <row r="242">
          <cell r="B242">
            <v>45535</v>
          </cell>
          <cell r="D242">
            <v>0</v>
          </cell>
          <cell r="E242" t="str">
            <v>Interest Income</v>
          </cell>
          <cell r="F242">
            <v>0</v>
          </cell>
          <cell r="G242">
            <v>36647.963088795113</v>
          </cell>
          <cell r="H242" t="str">
            <v>Apartment Construction Loan Interest income earned for the period - August 2024</v>
          </cell>
        </row>
        <row r="243">
          <cell r="B243">
            <v>45565</v>
          </cell>
          <cell r="D243" t="str">
            <v>Cash and cash equivalents</v>
          </cell>
          <cell r="E243">
            <v>0</v>
          </cell>
          <cell r="F243">
            <v>71369.790259076195</v>
          </cell>
          <cell r="G243">
            <v>0</v>
          </cell>
          <cell r="H243" t="str">
            <v>Apartment Construction Loan interest income received - September 2024</v>
          </cell>
        </row>
        <row r="244">
          <cell r="B244">
            <v>45565</v>
          </cell>
          <cell r="D244">
            <v>0</v>
          </cell>
          <cell r="E244" t="str">
            <v>Loan/Notes receivable</v>
          </cell>
          <cell r="F244">
            <v>0</v>
          </cell>
          <cell r="G244">
            <v>35155.850009909598</v>
          </cell>
          <cell r="H244" t="str">
            <v>Apartment Construction Loan/Notes receivable adjustment - September 2024</v>
          </cell>
        </row>
        <row r="245">
          <cell r="B245">
            <v>45565</v>
          </cell>
          <cell r="D245">
            <v>0</v>
          </cell>
          <cell r="E245" t="str">
            <v>Interest Income</v>
          </cell>
          <cell r="F245">
            <v>0</v>
          </cell>
          <cell r="G245">
            <v>36213.940249166597</v>
          </cell>
          <cell r="H245" t="str">
            <v>Apartment Construction Loan Interest income earned for the period - September 2024</v>
          </cell>
        </row>
        <row r="246">
          <cell r="B246">
            <v>45596</v>
          </cell>
          <cell r="D246" t="str">
            <v>Cash and cash equivalents</v>
          </cell>
          <cell r="E246">
            <v>0</v>
          </cell>
          <cell r="F246">
            <v>71369.790259076195</v>
          </cell>
          <cell r="G246">
            <v>0</v>
          </cell>
          <cell r="H246" t="str">
            <v>Apartment Construction Loan interest income received - October 2024</v>
          </cell>
        </row>
        <row r="247">
          <cell r="B247">
            <v>45596</v>
          </cell>
          <cell r="D247">
            <v>0</v>
          </cell>
          <cell r="E247" t="str">
            <v>Loan/Notes receivable</v>
          </cell>
          <cell r="F247">
            <v>0</v>
          </cell>
          <cell r="G247">
            <v>35595.298135033467</v>
          </cell>
          <cell r="H247" t="str">
            <v>Apartment Construction Loan/Notes receivable adjustment - October 2024</v>
          </cell>
        </row>
        <row r="248">
          <cell r="B248">
            <v>45596</v>
          </cell>
          <cell r="D248">
            <v>0</v>
          </cell>
          <cell r="E248" t="str">
            <v>Interest Income</v>
          </cell>
          <cell r="F248">
            <v>0</v>
          </cell>
          <cell r="G248">
            <v>35774.492124042728</v>
          </cell>
          <cell r="H248" t="str">
            <v>Apartment Construction Loan Interest income earned for the period - October 2024</v>
          </cell>
        </row>
        <row r="249">
          <cell r="B249">
            <v>45626</v>
          </cell>
          <cell r="D249" t="str">
            <v>Cash and cash equivalents</v>
          </cell>
          <cell r="E249">
            <v>0</v>
          </cell>
          <cell r="F249">
            <v>71369.790259076195</v>
          </cell>
          <cell r="G249">
            <v>0</v>
          </cell>
          <cell r="H249" t="str">
            <v>Apartment Construction Loan interest income received - November 2024</v>
          </cell>
        </row>
        <row r="250">
          <cell r="B250">
            <v>45626</v>
          </cell>
          <cell r="D250">
            <v>0</v>
          </cell>
          <cell r="E250" t="str">
            <v>Loan/Notes receivable</v>
          </cell>
          <cell r="F250">
            <v>0</v>
          </cell>
          <cell r="G250">
            <v>36040.239361721382</v>
          </cell>
          <cell r="H250" t="str">
            <v>Apartment Construction Loan/Notes receivable adjustment - November 2024</v>
          </cell>
        </row>
        <row r="251">
          <cell r="B251">
            <v>45626</v>
          </cell>
          <cell r="D251">
            <v>0</v>
          </cell>
          <cell r="E251" t="str">
            <v>Interest Income</v>
          </cell>
          <cell r="F251">
            <v>0</v>
          </cell>
          <cell r="G251">
            <v>35329.550897354813</v>
          </cell>
          <cell r="H251" t="str">
            <v>Apartment Construction Loan Interest income earned for the period - November 2024</v>
          </cell>
        </row>
        <row r="252">
          <cell r="B252">
            <v>45657</v>
          </cell>
          <cell r="D252" t="str">
            <v>Cash and cash equivalents</v>
          </cell>
          <cell r="E252">
            <v>0</v>
          </cell>
          <cell r="F252">
            <v>71369.790259076195</v>
          </cell>
          <cell r="G252">
            <v>0</v>
          </cell>
          <cell r="H252" t="str">
            <v>Apartment Construction Loan interest income received - December 2024</v>
          </cell>
        </row>
        <row r="253">
          <cell r="B253">
            <v>45657</v>
          </cell>
          <cell r="D253">
            <v>0</v>
          </cell>
          <cell r="E253" t="str">
            <v>Loan/Notes receivable</v>
          </cell>
          <cell r="F253">
            <v>0</v>
          </cell>
          <cell r="G253">
            <v>36490.742353742906</v>
          </cell>
          <cell r="H253" t="str">
            <v>Apartment Construction Loan/Notes receivable adjustment - December 2024</v>
          </cell>
        </row>
        <row r="254">
          <cell r="B254">
            <v>45657</v>
          </cell>
          <cell r="D254">
            <v>0</v>
          </cell>
          <cell r="E254" t="str">
            <v>Interest Income</v>
          </cell>
          <cell r="F254">
            <v>0</v>
          </cell>
          <cell r="G254">
            <v>34879.047905333289</v>
          </cell>
          <cell r="H254" t="str">
            <v>Apartment Construction Loan Interest income earned for the period - December 2024</v>
          </cell>
        </row>
        <row r="255">
          <cell r="B255">
            <v>45657</v>
          </cell>
          <cell r="D255" t="str">
            <v>Investments, at fair value</v>
          </cell>
          <cell r="E255">
            <v>0</v>
          </cell>
          <cell r="F255">
            <v>1000000</v>
          </cell>
          <cell r="G255">
            <v>0</v>
          </cell>
          <cell r="H255" t="str">
            <v>Unrealized appreciation of E-commerce equity investment</v>
          </cell>
        </row>
        <row r="256">
          <cell r="B256">
            <v>45657</v>
          </cell>
          <cell r="D256">
            <v>0</v>
          </cell>
          <cell r="E256" t="str">
            <v>Unrealized Investment gains/losses</v>
          </cell>
          <cell r="F256">
            <v>0</v>
          </cell>
          <cell r="G256">
            <v>1000000</v>
          </cell>
          <cell r="H256" t="str">
            <v>Recognition of unrealized gain on E-commerce equity investment as of year-end</v>
          </cell>
        </row>
        <row r="257">
          <cell r="B257">
            <v>45322</v>
          </cell>
          <cell r="D257" t="str">
            <v>Management fee expense</v>
          </cell>
          <cell r="E257">
            <v>0</v>
          </cell>
          <cell r="F257">
            <v>25000</v>
          </cell>
          <cell r="G257">
            <v>0</v>
          </cell>
          <cell r="H257" t="str">
            <v>Management fee - January 2024</v>
          </cell>
        </row>
        <row r="258">
          <cell r="B258">
            <v>45322</v>
          </cell>
          <cell r="D258">
            <v>0</v>
          </cell>
          <cell r="E258" t="str">
            <v>Accrued management fee</v>
          </cell>
          <cell r="F258">
            <v>0</v>
          </cell>
          <cell r="G258">
            <v>25000</v>
          </cell>
          <cell r="H258" t="str">
            <v>Accrued management fee - January 2024</v>
          </cell>
        </row>
        <row r="259">
          <cell r="B259">
            <v>45351</v>
          </cell>
          <cell r="D259" t="str">
            <v>Management fee expense</v>
          </cell>
          <cell r="E259">
            <v>0</v>
          </cell>
          <cell r="F259">
            <v>25000</v>
          </cell>
          <cell r="G259">
            <v>0</v>
          </cell>
          <cell r="H259" t="str">
            <v>Management fee - February 2024</v>
          </cell>
        </row>
        <row r="260">
          <cell r="B260">
            <v>45351</v>
          </cell>
          <cell r="D260">
            <v>0</v>
          </cell>
          <cell r="E260" t="str">
            <v>Accrued management fee</v>
          </cell>
          <cell r="F260">
            <v>0</v>
          </cell>
          <cell r="G260">
            <v>25000</v>
          </cell>
          <cell r="H260" t="str">
            <v>Accrued management fee - February 2024</v>
          </cell>
        </row>
        <row r="261">
          <cell r="B261">
            <v>45382</v>
          </cell>
          <cell r="D261" t="str">
            <v>Management fee expense</v>
          </cell>
          <cell r="E261">
            <v>0</v>
          </cell>
          <cell r="F261">
            <v>25000</v>
          </cell>
          <cell r="G261">
            <v>0</v>
          </cell>
          <cell r="H261" t="str">
            <v>Management fee - March 2024</v>
          </cell>
        </row>
        <row r="262">
          <cell r="B262">
            <v>45382</v>
          </cell>
          <cell r="D262">
            <v>0</v>
          </cell>
          <cell r="E262" t="str">
            <v>Accrued management fee</v>
          </cell>
          <cell r="F262">
            <v>0</v>
          </cell>
          <cell r="G262">
            <v>25000</v>
          </cell>
          <cell r="H262" t="str">
            <v>Accrued management fee - March 2024</v>
          </cell>
        </row>
        <row r="263">
          <cell r="B263">
            <v>45412</v>
          </cell>
          <cell r="D263" t="str">
            <v>Management fee expense</v>
          </cell>
          <cell r="E263">
            <v>0</v>
          </cell>
          <cell r="F263">
            <v>25000</v>
          </cell>
          <cell r="G263">
            <v>0</v>
          </cell>
          <cell r="H263" t="str">
            <v>Management fee - April 2024</v>
          </cell>
        </row>
        <row r="264">
          <cell r="B264">
            <v>45412</v>
          </cell>
          <cell r="D264">
            <v>0</v>
          </cell>
          <cell r="E264" t="str">
            <v>Accrued management fee</v>
          </cell>
          <cell r="F264">
            <v>0</v>
          </cell>
          <cell r="G264">
            <v>25000</v>
          </cell>
          <cell r="H264" t="str">
            <v>Accrued management fee - April 2024</v>
          </cell>
        </row>
        <row r="265">
          <cell r="B265">
            <v>45443</v>
          </cell>
          <cell r="D265" t="str">
            <v>Management fee expense</v>
          </cell>
          <cell r="E265">
            <v>0</v>
          </cell>
          <cell r="F265">
            <v>25000</v>
          </cell>
          <cell r="G265">
            <v>0</v>
          </cell>
          <cell r="H265" t="str">
            <v>Management fee - May 2024</v>
          </cell>
        </row>
        <row r="266">
          <cell r="B266">
            <v>45443</v>
          </cell>
          <cell r="D266">
            <v>0</v>
          </cell>
          <cell r="E266" t="str">
            <v>Accrued management fee</v>
          </cell>
          <cell r="F266">
            <v>0</v>
          </cell>
          <cell r="G266">
            <v>25000</v>
          </cell>
          <cell r="H266" t="str">
            <v>Accrued management fee - May 2024</v>
          </cell>
        </row>
        <row r="267">
          <cell r="B267">
            <v>45473</v>
          </cell>
          <cell r="D267" t="str">
            <v>Management fee expense</v>
          </cell>
          <cell r="E267">
            <v>0</v>
          </cell>
          <cell r="F267">
            <v>25000</v>
          </cell>
          <cell r="G267">
            <v>0</v>
          </cell>
          <cell r="H267" t="str">
            <v>Management fee - June 2024</v>
          </cell>
        </row>
        <row r="268">
          <cell r="B268">
            <v>45473</v>
          </cell>
          <cell r="D268">
            <v>0</v>
          </cell>
          <cell r="E268" t="str">
            <v>Accrued management fee</v>
          </cell>
          <cell r="F268">
            <v>0</v>
          </cell>
          <cell r="G268">
            <v>25000</v>
          </cell>
          <cell r="H268" t="str">
            <v>Accrued management fee - June 2024</v>
          </cell>
        </row>
        <row r="269">
          <cell r="B269">
            <v>45504</v>
          </cell>
          <cell r="D269" t="str">
            <v>Management fee expense</v>
          </cell>
          <cell r="E269">
            <v>0</v>
          </cell>
          <cell r="F269">
            <v>25000</v>
          </cell>
          <cell r="G269">
            <v>0</v>
          </cell>
          <cell r="H269" t="str">
            <v>Management fee - July 2024</v>
          </cell>
        </row>
        <row r="270">
          <cell r="B270">
            <v>45504</v>
          </cell>
          <cell r="D270">
            <v>0</v>
          </cell>
          <cell r="E270" t="str">
            <v>Accrued management fee</v>
          </cell>
          <cell r="F270">
            <v>0</v>
          </cell>
          <cell r="G270">
            <v>25000</v>
          </cell>
          <cell r="H270" t="str">
            <v>Accrued management fee - July 2024</v>
          </cell>
        </row>
        <row r="271">
          <cell r="B271">
            <v>45535</v>
          </cell>
          <cell r="D271" t="str">
            <v>Management fee expense</v>
          </cell>
          <cell r="E271">
            <v>0</v>
          </cell>
          <cell r="F271">
            <v>25000</v>
          </cell>
          <cell r="G271">
            <v>0</v>
          </cell>
          <cell r="H271" t="str">
            <v>Management fee - August 2024</v>
          </cell>
        </row>
        <row r="272">
          <cell r="B272">
            <v>45535</v>
          </cell>
          <cell r="D272">
            <v>0</v>
          </cell>
          <cell r="E272" t="str">
            <v>Accrued management fee</v>
          </cell>
          <cell r="F272">
            <v>0</v>
          </cell>
          <cell r="G272">
            <v>25000</v>
          </cell>
          <cell r="H272" t="str">
            <v>Accrued management fee - August 2024</v>
          </cell>
        </row>
        <row r="273">
          <cell r="B273">
            <v>45565</v>
          </cell>
          <cell r="D273" t="str">
            <v>Management fee expense</v>
          </cell>
          <cell r="E273">
            <v>0</v>
          </cell>
          <cell r="F273">
            <v>25000</v>
          </cell>
          <cell r="G273">
            <v>0</v>
          </cell>
          <cell r="H273" t="str">
            <v>Management fee - September 2024</v>
          </cell>
        </row>
        <row r="274">
          <cell r="B274">
            <v>45565</v>
          </cell>
          <cell r="D274">
            <v>0</v>
          </cell>
          <cell r="E274" t="str">
            <v>Accrued management fee</v>
          </cell>
          <cell r="F274">
            <v>0</v>
          </cell>
          <cell r="G274">
            <v>25000</v>
          </cell>
          <cell r="H274" t="str">
            <v>Accrued management fee - September 2024</v>
          </cell>
        </row>
        <row r="275">
          <cell r="B275">
            <v>45596</v>
          </cell>
          <cell r="D275" t="str">
            <v>Management fee expense</v>
          </cell>
          <cell r="E275">
            <v>0</v>
          </cell>
          <cell r="F275">
            <v>25000</v>
          </cell>
          <cell r="G275">
            <v>0</v>
          </cell>
          <cell r="H275" t="str">
            <v>Management fee - October 2024</v>
          </cell>
        </row>
        <row r="276">
          <cell r="B276">
            <v>45596</v>
          </cell>
          <cell r="D276">
            <v>0</v>
          </cell>
          <cell r="E276" t="str">
            <v>Accrued management fee</v>
          </cell>
          <cell r="F276">
            <v>0</v>
          </cell>
          <cell r="G276">
            <v>25000</v>
          </cell>
          <cell r="H276" t="str">
            <v>Accrued management fee - October 2024</v>
          </cell>
        </row>
        <row r="277">
          <cell r="B277">
            <v>45626</v>
          </cell>
          <cell r="D277" t="str">
            <v>Management fee expense</v>
          </cell>
          <cell r="E277">
            <v>0</v>
          </cell>
          <cell r="F277">
            <v>25000</v>
          </cell>
          <cell r="G277">
            <v>0</v>
          </cell>
          <cell r="H277" t="str">
            <v>Management fee - November 2024</v>
          </cell>
        </row>
        <row r="278">
          <cell r="B278">
            <v>45626</v>
          </cell>
          <cell r="D278">
            <v>0</v>
          </cell>
          <cell r="E278" t="str">
            <v>Accrued management fee</v>
          </cell>
          <cell r="F278">
            <v>0</v>
          </cell>
          <cell r="G278">
            <v>25000</v>
          </cell>
          <cell r="H278" t="str">
            <v>Accrued management fee - November 2024</v>
          </cell>
        </row>
        <row r="279">
          <cell r="B279">
            <v>45657</v>
          </cell>
          <cell r="D279" t="str">
            <v>Management fee expense</v>
          </cell>
          <cell r="E279">
            <v>0</v>
          </cell>
          <cell r="F279">
            <v>25000</v>
          </cell>
          <cell r="G279">
            <v>0</v>
          </cell>
          <cell r="H279" t="str">
            <v>Management fee - December 2024</v>
          </cell>
        </row>
        <row r="280">
          <cell r="B280">
            <v>45657</v>
          </cell>
          <cell r="D280">
            <v>0</v>
          </cell>
          <cell r="E280" t="str">
            <v>Accrued management fee</v>
          </cell>
          <cell r="F280">
            <v>0</v>
          </cell>
          <cell r="G280">
            <v>25000</v>
          </cell>
          <cell r="H280" t="str">
            <v>Accrued management fee - December 2024</v>
          </cell>
        </row>
        <row r="281">
          <cell r="B281">
            <v>45382</v>
          </cell>
          <cell r="D281" t="str">
            <v>Accrued management fee</v>
          </cell>
          <cell r="E281">
            <v>0</v>
          </cell>
          <cell r="F281">
            <v>75000</v>
          </cell>
          <cell r="G281">
            <v>0</v>
          </cell>
          <cell r="H281" t="str">
            <v>1Q 2024 management fees</v>
          </cell>
        </row>
        <row r="282">
          <cell r="B282">
            <v>45382</v>
          </cell>
          <cell r="D282">
            <v>0</v>
          </cell>
          <cell r="E282" t="str">
            <v>Cash and cash equivalents</v>
          </cell>
          <cell r="F282">
            <v>0</v>
          </cell>
          <cell r="G282">
            <v>75000</v>
          </cell>
          <cell r="H282" t="str">
            <v>Payment of 1Q 2024 management fees</v>
          </cell>
        </row>
        <row r="283">
          <cell r="B283">
            <v>45473</v>
          </cell>
          <cell r="D283" t="str">
            <v>Accrued management fee</v>
          </cell>
          <cell r="E283">
            <v>0</v>
          </cell>
          <cell r="F283">
            <v>75000</v>
          </cell>
          <cell r="G283">
            <v>0</v>
          </cell>
          <cell r="H283" t="str">
            <v>2Q 2024 management fees</v>
          </cell>
        </row>
        <row r="284">
          <cell r="B284">
            <v>45473</v>
          </cell>
          <cell r="D284">
            <v>0</v>
          </cell>
          <cell r="E284" t="str">
            <v>Cash and cash equivalents</v>
          </cell>
          <cell r="F284">
            <v>0</v>
          </cell>
          <cell r="G284">
            <v>75000</v>
          </cell>
          <cell r="H284" t="str">
            <v>Payment of 2Q 2024 management fees</v>
          </cell>
        </row>
        <row r="285">
          <cell r="B285">
            <v>45565</v>
          </cell>
          <cell r="D285" t="str">
            <v>Accrued management fee</v>
          </cell>
          <cell r="E285">
            <v>0</v>
          </cell>
          <cell r="F285">
            <v>75000</v>
          </cell>
          <cell r="G285">
            <v>0</v>
          </cell>
          <cell r="H285" t="str">
            <v>3Q 2024 management fees</v>
          </cell>
        </row>
        <row r="286">
          <cell r="B286">
            <v>45565</v>
          </cell>
          <cell r="D286">
            <v>0</v>
          </cell>
          <cell r="E286" t="str">
            <v>Cash and cash equivalents</v>
          </cell>
          <cell r="F286">
            <v>0</v>
          </cell>
          <cell r="G286">
            <v>75000</v>
          </cell>
          <cell r="H286" t="str">
            <v>Payment of 3Q 2024 management fees</v>
          </cell>
        </row>
        <row r="287">
          <cell r="B287">
            <v>45657</v>
          </cell>
          <cell r="D287" t="str">
            <v>Accrued management fee</v>
          </cell>
          <cell r="E287">
            <v>0</v>
          </cell>
          <cell r="F287">
            <v>75000</v>
          </cell>
          <cell r="G287">
            <v>0</v>
          </cell>
          <cell r="H287" t="str">
            <v>4Q 2024 management fees</v>
          </cell>
        </row>
        <row r="288">
          <cell r="B288">
            <v>45657</v>
          </cell>
          <cell r="D288">
            <v>0</v>
          </cell>
          <cell r="E288" t="str">
            <v>Cash and cash equivalents</v>
          </cell>
          <cell r="F288">
            <v>0</v>
          </cell>
          <cell r="G288">
            <v>75000</v>
          </cell>
          <cell r="H288" t="str">
            <v>Payment of 4Q 2024 management fees</v>
          </cell>
        </row>
        <row r="289">
          <cell r="B289">
            <v>45657</v>
          </cell>
          <cell r="D289" t="str">
            <v>Performance fee expense</v>
          </cell>
          <cell r="E289">
            <v>0</v>
          </cell>
          <cell r="F289">
            <v>838754.03513283492</v>
          </cell>
          <cell r="G289">
            <v>0</v>
          </cell>
          <cell r="H289" t="str">
            <v>Annual performance fee expense</v>
          </cell>
        </row>
        <row r="290">
          <cell r="B290">
            <v>45657</v>
          </cell>
          <cell r="D290">
            <v>0</v>
          </cell>
          <cell r="E290" t="str">
            <v>Performance fee payable</v>
          </cell>
          <cell r="F290">
            <v>0</v>
          </cell>
          <cell r="G290">
            <v>838754.03513283492</v>
          </cell>
          <cell r="H290" t="str">
            <v>Annual performance fee payable</v>
          </cell>
        </row>
      </sheetData>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A2878-0C32-467F-AB56-228B1676724A}">
  <dimension ref="A1:U41"/>
  <sheetViews>
    <sheetView showGridLines="0" zoomScaleNormal="100" workbookViewId="0">
      <selection activeCell="E28" sqref="E28"/>
    </sheetView>
  </sheetViews>
  <sheetFormatPr defaultRowHeight="15.75" x14ac:dyDescent="0.25"/>
  <cols>
    <col min="1" max="2" width="2.85546875" style="10" customWidth="1"/>
    <col min="3" max="3" width="9.140625" style="10"/>
    <col min="4" max="4" width="40.140625" style="10" customWidth="1"/>
    <col min="5" max="5" width="28.7109375" style="10" customWidth="1"/>
    <col min="6" max="6" width="78" style="10" customWidth="1"/>
    <col min="7" max="16384" width="9.140625" style="10"/>
  </cols>
  <sheetData>
    <row r="1" spans="1:21" x14ac:dyDescent="0.25">
      <c r="A1" s="378" t="s">
        <v>566</v>
      </c>
      <c r="B1" s="379"/>
      <c r="C1" s="379"/>
      <c r="D1" s="380"/>
      <c r="E1" s="379"/>
      <c r="F1" s="379"/>
      <c r="G1" s="379"/>
      <c r="H1" s="379"/>
      <c r="I1" s="379"/>
      <c r="J1" s="379"/>
      <c r="K1" s="379"/>
      <c r="L1" s="379"/>
      <c r="M1" s="379"/>
      <c r="N1" s="379"/>
      <c r="O1" s="379"/>
      <c r="P1" s="379"/>
      <c r="Q1" s="379"/>
      <c r="R1" s="379"/>
      <c r="S1" s="379"/>
      <c r="T1" s="379"/>
      <c r="U1" s="379"/>
    </row>
    <row r="2" spans="1:21" x14ac:dyDescent="0.25">
      <c r="A2" s="375" t="s">
        <v>560</v>
      </c>
      <c r="D2" s="11"/>
    </row>
    <row r="3" spans="1:21" x14ac:dyDescent="0.25">
      <c r="A3" s="375" t="s">
        <v>561</v>
      </c>
      <c r="D3" s="11"/>
    </row>
    <row r="4" spans="1:21" x14ac:dyDescent="0.25">
      <c r="A4" s="375" t="s">
        <v>562</v>
      </c>
      <c r="D4" s="11"/>
    </row>
    <row r="5" spans="1:21" x14ac:dyDescent="0.25">
      <c r="A5" s="375" t="s">
        <v>563</v>
      </c>
      <c r="D5" s="11"/>
    </row>
    <row r="6" spans="1:21" x14ac:dyDescent="0.25">
      <c r="A6" s="375" t="s">
        <v>564</v>
      </c>
      <c r="D6" s="11"/>
    </row>
    <row r="7" spans="1:21" x14ac:dyDescent="0.25">
      <c r="A7" s="375" t="s">
        <v>565</v>
      </c>
      <c r="D7" s="11"/>
    </row>
    <row r="8" spans="1:21" ht="16.5" thickBot="1" x14ac:dyDescent="0.3">
      <c r="D8" s="11"/>
      <c r="I8" s="375"/>
    </row>
    <row r="9" spans="1:21" x14ac:dyDescent="0.25">
      <c r="C9" s="359"/>
      <c r="D9" s="360"/>
      <c r="E9" s="361"/>
      <c r="F9" s="361"/>
      <c r="G9" s="362"/>
    </row>
    <row r="10" spans="1:21" x14ac:dyDescent="0.25">
      <c r="C10" s="363"/>
      <c r="D10" s="11" t="s">
        <v>526</v>
      </c>
      <c r="G10" s="364"/>
    </row>
    <row r="11" spans="1:21" x14ac:dyDescent="0.25">
      <c r="C11" s="363"/>
      <c r="D11" s="371" t="s">
        <v>527</v>
      </c>
      <c r="E11" s="371" t="s">
        <v>528</v>
      </c>
      <c r="F11" s="371" t="s">
        <v>37</v>
      </c>
      <c r="G11" s="364"/>
    </row>
    <row r="12" spans="1:21" s="11" customFormat="1" x14ac:dyDescent="0.25">
      <c r="C12" s="365"/>
      <c r="D12" s="373" t="s">
        <v>525</v>
      </c>
      <c r="E12" s="465" t="s">
        <v>523</v>
      </c>
      <c r="F12" s="372" t="s">
        <v>529</v>
      </c>
      <c r="G12" s="366"/>
    </row>
    <row r="13" spans="1:21" x14ac:dyDescent="0.25">
      <c r="C13" s="363"/>
      <c r="D13" s="373"/>
      <c r="E13" s="465" t="s">
        <v>524</v>
      </c>
      <c r="F13" s="372" t="s">
        <v>530</v>
      </c>
      <c r="G13" s="364"/>
    </row>
    <row r="14" spans="1:21" x14ac:dyDescent="0.25">
      <c r="C14" s="363"/>
      <c r="D14" s="381" t="s">
        <v>531</v>
      </c>
      <c r="E14" s="491" t="s">
        <v>532</v>
      </c>
      <c r="F14" s="382" t="s">
        <v>533</v>
      </c>
      <c r="G14" s="364"/>
    </row>
    <row r="15" spans="1:21" x14ac:dyDescent="0.25">
      <c r="C15" s="363"/>
      <c r="D15" s="381"/>
      <c r="E15" s="491" t="s">
        <v>409</v>
      </c>
      <c r="F15" s="382" t="s">
        <v>567</v>
      </c>
      <c r="G15" s="364"/>
    </row>
    <row r="16" spans="1:21" x14ac:dyDescent="0.25">
      <c r="C16" s="363"/>
      <c r="D16" s="381"/>
      <c r="E16" s="491" t="s">
        <v>196</v>
      </c>
      <c r="F16" s="382" t="s">
        <v>534</v>
      </c>
      <c r="G16" s="364"/>
    </row>
    <row r="17" spans="3:7" x14ac:dyDescent="0.25">
      <c r="C17" s="363"/>
      <c r="D17" s="381"/>
      <c r="E17" s="491" t="s">
        <v>569</v>
      </c>
      <c r="F17" s="382" t="s">
        <v>535</v>
      </c>
      <c r="G17" s="364"/>
    </row>
    <row r="18" spans="3:7" x14ac:dyDescent="0.25">
      <c r="C18" s="363"/>
      <c r="D18" s="383" t="s">
        <v>536</v>
      </c>
      <c r="E18" s="492" t="s">
        <v>537</v>
      </c>
      <c r="F18" s="384" t="s">
        <v>538</v>
      </c>
      <c r="G18" s="364"/>
    </row>
    <row r="19" spans="3:7" s="11" customFormat="1" x14ac:dyDescent="0.25">
      <c r="C19" s="365"/>
      <c r="D19" s="383"/>
      <c r="E19" s="492" t="s">
        <v>137</v>
      </c>
      <c r="F19" s="384" t="s">
        <v>539</v>
      </c>
      <c r="G19" s="366"/>
    </row>
    <row r="20" spans="3:7" x14ac:dyDescent="0.25">
      <c r="C20" s="363"/>
      <c r="D20" s="383"/>
      <c r="E20" s="492" t="s">
        <v>540</v>
      </c>
      <c r="F20" s="384" t="s">
        <v>541</v>
      </c>
      <c r="G20" s="364"/>
    </row>
    <row r="21" spans="3:7" x14ac:dyDescent="0.25">
      <c r="C21" s="363"/>
      <c r="D21" s="383"/>
      <c r="E21" s="492" t="s">
        <v>542</v>
      </c>
      <c r="F21" s="384" t="s">
        <v>543</v>
      </c>
      <c r="G21" s="364"/>
    </row>
    <row r="22" spans="3:7" s="11" customFormat="1" x14ac:dyDescent="0.25">
      <c r="C22" s="365"/>
      <c r="D22" s="383"/>
      <c r="E22" s="492" t="s">
        <v>544</v>
      </c>
      <c r="F22" s="384" t="s">
        <v>545</v>
      </c>
      <c r="G22" s="366"/>
    </row>
    <row r="23" spans="3:7" x14ac:dyDescent="0.25">
      <c r="C23" s="363"/>
      <c r="D23" s="383"/>
      <c r="E23" s="492" t="s">
        <v>437</v>
      </c>
      <c r="F23" s="384" t="s">
        <v>546</v>
      </c>
      <c r="G23" s="364"/>
    </row>
    <row r="24" spans="3:7" x14ac:dyDescent="0.25">
      <c r="C24" s="363"/>
      <c r="D24" s="383"/>
      <c r="E24" s="492" t="s">
        <v>62</v>
      </c>
      <c r="F24" s="384" t="s">
        <v>547</v>
      </c>
      <c r="G24" s="364"/>
    </row>
    <row r="25" spans="3:7" x14ac:dyDescent="0.25">
      <c r="C25" s="363"/>
      <c r="D25" s="385" t="s">
        <v>723</v>
      </c>
      <c r="E25" s="493" t="s">
        <v>548</v>
      </c>
      <c r="F25" s="386" t="s">
        <v>549</v>
      </c>
      <c r="G25" s="364"/>
    </row>
    <row r="26" spans="3:7" x14ac:dyDescent="0.25">
      <c r="C26" s="363"/>
      <c r="D26" s="385"/>
      <c r="E26" s="493" t="s">
        <v>550</v>
      </c>
      <c r="F26" s="386" t="s">
        <v>551</v>
      </c>
      <c r="G26" s="364"/>
    </row>
    <row r="27" spans="3:7" x14ac:dyDescent="0.25">
      <c r="C27" s="363"/>
      <c r="D27" s="387" t="s">
        <v>552</v>
      </c>
      <c r="E27" s="494" t="s">
        <v>1</v>
      </c>
      <c r="F27" s="388" t="s">
        <v>553</v>
      </c>
      <c r="G27" s="364"/>
    </row>
    <row r="28" spans="3:7" x14ac:dyDescent="0.25">
      <c r="C28" s="363"/>
      <c r="D28" s="387"/>
      <c r="E28" s="494" t="s">
        <v>554</v>
      </c>
      <c r="F28" s="388" t="s">
        <v>555</v>
      </c>
      <c r="G28" s="364"/>
    </row>
    <row r="29" spans="3:7" x14ac:dyDescent="0.25">
      <c r="C29" s="363"/>
      <c r="D29" s="387"/>
      <c r="E29" s="494" t="s">
        <v>556</v>
      </c>
      <c r="F29" s="388" t="s">
        <v>557</v>
      </c>
      <c r="G29" s="364"/>
    </row>
    <row r="30" spans="3:7" x14ac:dyDescent="0.25">
      <c r="C30" s="363"/>
      <c r="D30" s="387"/>
      <c r="E30" s="494" t="s">
        <v>558</v>
      </c>
      <c r="F30" s="388" t="s">
        <v>559</v>
      </c>
      <c r="G30" s="364"/>
    </row>
    <row r="31" spans="3:7" ht="16.5" thickBot="1" x14ac:dyDescent="0.3">
      <c r="C31" s="367"/>
      <c r="D31" s="368"/>
      <c r="E31" s="369"/>
      <c r="F31" s="369"/>
      <c r="G31" s="370"/>
    </row>
    <row r="32" spans="3:7" x14ac:dyDescent="0.25">
      <c r="D32" s="11"/>
    </row>
    <row r="33" spans="3:7" x14ac:dyDescent="0.25">
      <c r="C33" s="32"/>
      <c r="D33" s="32"/>
      <c r="E33" s="31"/>
      <c r="F33" s="31"/>
      <c r="G33" s="31"/>
    </row>
    <row r="34" spans="3:7" x14ac:dyDescent="0.25">
      <c r="D34" s="375"/>
      <c r="E34" s="374"/>
      <c r="F34" s="374"/>
      <c r="G34" s="31"/>
    </row>
    <row r="35" spans="3:7" x14ac:dyDescent="0.25">
      <c r="D35" s="375"/>
      <c r="E35" s="374"/>
      <c r="F35" s="374"/>
      <c r="G35" s="31"/>
    </row>
    <row r="36" spans="3:7" x14ac:dyDescent="0.25">
      <c r="D36" s="375"/>
      <c r="E36" s="374"/>
      <c r="F36" s="374"/>
      <c r="G36" s="31"/>
    </row>
    <row r="37" spans="3:7" x14ac:dyDescent="0.25">
      <c r="D37" s="375"/>
      <c r="E37" s="374"/>
      <c r="F37" s="374"/>
      <c r="G37" s="31"/>
    </row>
    <row r="38" spans="3:7" x14ac:dyDescent="0.25">
      <c r="D38" s="375"/>
      <c r="E38" s="374"/>
      <c r="F38" s="374"/>
      <c r="G38" s="31"/>
    </row>
    <row r="39" spans="3:7" x14ac:dyDescent="0.25">
      <c r="D39" s="375"/>
      <c r="E39" s="374"/>
      <c r="F39" s="374"/>
    </row>
    <row r="40" spans="3:7" x14ac:dyDescent="0.25">
      <c r="C40" s="376"/>
      <c r="D40" s="377"/>
    </row>
    <row r="41" spans="3:7" x14ac:dyDescent="0.25">
      <c r="D41" s="377"/>
    </row>
  </sheetData>
  <hyperlinks>
    <hyperlink ref="E12" location="Dashboard!A1" display="Dashboard" xr:uid="{4038E85A-258C-471B-9D78-B4013CE032BF}"/>
    <hyperlink ref="E13" location="Data!A1" display="Data Repository" xr:uid="{D8318AD6-4250-445D-AB72-48408DA2586C}"/>
    <hyperlink ref="E14" location="'Business Plan'!A1" display="Business Plan" xr:uid="{25B6FE98-16A7-46F9-BE5C-D10715FCD45C}"/>
    <hyperlink ref="E15" location="Budget!A1" display="Budget" xr:uid="{96FF1C95-0525-45D4-AF18-1FEA9D73CDF3}"/>
    <hyperlink ref="E16" location="'E-Commerce Loan'!A1" display="E-Commerce Loan" xr:uid="{A542CA80-23EF-4F13-870D-B95F8A835B2E}"/>
    <hyperlink ref="E17" location="'Apartment Complex Loan'!A1" display="Apartment Complex Loan" xr:uid="{465B1D82-7B00-43A8-A8DD-A870A94401C4}"/>
    <hyperlink ref="E18" location="'Journal Entries'!A1" display="Journal Entries" xr:uid="{4B52FA6F-080C-4541-BCC2-AC3B2E314690}"/>
    <hyperlink ref="E19" location="'Trial Balance'!A1" display="Trial Balance" xr:uid="{29D728AF-9D02-41D6-AF6D-6348066E4986}"/>
    <hyperlink ref="E20" location="'Balance Sheet'!A1" display="Balance Sheet" xr:uid="{44057BBE-4983-452D-AA14-C7EE794B85A8}"/>
    <hyperlink ref="E21" location="'Income Statement'!A1" display="Income Statement" xr:uid="{82812108-FB9F-4A98-87E7-C630C482BF42}"/>
    <hyperlink ref="E22" location="'Changes in Partners'' Capital'!A1" display="Changes in Partners' Capital" xr:uid="{18A1226A-3509-414E-992C-E1EAC7F9B399}"/>
    <hyperlink ref="E23" location="'Cash Flow Statement'!A1" display="Cash Flow Statement" xr:uid="{6BE36DDA-4DE9-4B6C-AB70-161C7F8CCF89}"/>
    <hyperlink ref="E25" location="'Investor Allocations'!A1" display="Investor Allocations" xr:uid="{EC328BBD-0E37-40B3-B3C5-F291073313AD}"/>
    <hyperlink ref="E26" location="'Investor Capital Accounts'!A1" display="Investor Capital Accounts" xr:uid="{7FA447F4-0271-4F54-9D87-236E10C5031A}"/>
    <hyperlink ref="E27" location="'Chart of Accounts'!A1" display="Chart of Accounts" xr:uid="{52E4126B-D314-4F2E-86BB-92CABE40D200}"/>
    <hyperlink ref="E28" location="'Bank Reconciliation'!A1" display="Bank Reconciliation" xr:uid="{D296CF4B-93B8-4B80-B834-991B472D3576}"/>
    <hyperlink ref="E29" location="Glossary!A1" display="Glossary" xr:uid="{02A4135F-A006-41B8-AE73-E2E7CC363E2E}"/>
    <hyperlink ref="E30" location="'Change Log'!A1" display="Change Log" xr:uid="{A44902D8-E484-40FE-B0D9-C830CB1140F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08D3B-BB31-407F-9BE4-02233167056B}">
  <sheetPr>
    <tabColor theme="7" tint="0.79998168889431442"/>
  </sheetPr>
  <dimension ref="A1:BQ82"/>
  <sheetViews>
    <sheetView showGridLines="0" zoomScale="90" zoomScaleNormal="90" workbookViewId="0">
      <pane xSplit="4" ySplit="9" topLeftCell="E10" activePane="bottomRight" state="frozen"/>
      <selection sqref="A1:XFD1048576"/>
      <selection pane="topRight" sqref="A1:XFD1048576"/>
      <selection pane="bottomLeft" sqref="A1:XFD1048576"/>
      <selection pane="bottomRight" activeCell="E10" sqref="E10"/>
    </sheetView>
  </sheetViews>
  <sheetFormatPr defaultRowHeight="15.75" outlineLevelCol="1" x14ac:dyDescent="0.25"/>
  <cols>
    <col min="1" max="1" width="1.42578125" style="10" customWidth="1"/>
    <col min="2" max="2" width="9.5703125" style="10" customWidth="1"/>
    <col min="3" max="3" width="30.85546875" style="10" customWidth="1"/>
    <col min="4" max="4" width="16" style="10" bestFit="1" customWidth="1"/>
    <col min="5" max="16" width="13" style="10" customWidth="1"/>
    <col min="17" max="24" width="11.5703125" style="10" hidden="1" customWidth="1" outlineLevel="1"/>
    <col min="25" max="25" width="12" style="10" hidden="1" customWidth="1" outlineLevel="1"/>
    <col min="26" max="28" width="12.85546875" style="10" hidden="1" customWidth="1" outlineLevel="1"/>
    <col min="29" max="36" width="11.5703125" style="10" hidden="1" customWidth="1" outlineLevel="1"/>
    <col min="37" max="37" width="12" style="10" hidden="1" customWidth="1" outlineLevel="1"/>
    <col min="38" max="40" width="12.85546875" style="10" hidden="1" customWidth="1" outlineLevel="1"/>
    <col min="41" max="48" width="11.5703125" style="10" hidden="1" customWidth="1" outlineLevel="1"/>
    <col min="49" max="49" width="12" style="10" hidden="1" customWidth="1" outlineLevel="1"/>
    <col min="50" max="52" width="12.85546875" style="10" hidden="1" customWidth="1" outlineLevel="1"/>
    <col min="53" max="60" width="11.5703125" style="10" hidden="1" customWidth="1" outlineLevel="1"/>
    <col min="61" max="61" width="12" style="10" hidden="1" customWidth="1" outlineLevel="1"/>
    <col min="62" max="62" width="12.85546875" style="10" hidden="1" customWidth="1" outlineLevel="1"/>
    <col min="63" max="63" width="12.85546875" style="10" bestFit="1" customWidth="1" collapsed="1"/>
    <col min="64" max="64" width="12.85546875" style="10" bestFit="1" customWidth="1"/>
    <col min="65" max="16384" width="9.140625" style="10"/>
  </cols>
  <sheetData>
    <row r="1" spans="1:69" s="31" customFormat="1" ht="11.25" customHeight="1" x14ac:dyDescent="0.25">
      <c r="B1" s="36"/>
      <c r="D1" s="32"/>
      <c r="BN1" s="10"/>
      <c r="BO1" s="10"/>
      <c r="BP1" s="10"/>
      <c r="BQ1" s="10"/>
    </row>
    <row r="2" spans="1:69" x14ac:dyDescent="0.25">
      <c r="D2" s="11"/>
      <c r="H2" s="13" t="str">
        <f>+'FS Cover'!E4</f>
        <v>Good Practices Fund I, L.P.</v>
      </c>
    </row>
    <row r="3" spans="1:69" x14ac:dyDescent="0.25">
      <c r="D3" s="11"/>
      <c r="H3" s="13" t="s">
        <v>2</v>
      </c>
    </row>
    <row r="4" spans="1:69" x14ac:dyDescent="0.25">
      <c r="D4" s="442">
        <f>+SUM(D10:D174)</f>
        <v>-9.3132257461547852E-10</v>
      </c>
      <c r="H4" s="97" t="str">
        <f>TEXT('FS Cover'!E6,"mmmm dd, yyyy")&amp;" to "&amp;TEXT('FS Cover'!G6,"mmmm dd, yyyy")</f>
        <v>January 01, 2024 to December 31, 2024</v>
      </c>
    </row>
    <row r="5" spans="1:69" x14ac:dyDescent="0.25">
      <c r="D5" s="11"/>
      <c r="H5" s="13"/>
      <c r="M5" s="98"/>
    </row>
    <row r="6" spans="1:69" x14ac:dyDescent="0.25">
      <c r="B6" s="10" t="s">
        <v>40</v>
      </c>
      <c r="D6" s="11"/>
    </row>
    <row r="7" spans="1:69" x14ac:dyDescent="0.25">
      <c r="D7" s="11"/>
    </row>
    <row r="8" spans="1:69" x14ac:dyDescent="0.25">
      <c r="D8" s="99">
        <f>+'Business Plan'!$D$23</f>
        <v>45266</v>
      </c>
      <c r="E8" s="100">
        <f>+EOMONTH(D8,1)</f>
        <v>45322</v>
      </c>
      <c r="F8" s="100">
        <f>+EOMONTH(E8,1)</f>
        <v>45351</v>
      </c>
      <c r="G8" s="100">
        <f t="shared" ref="G8:BL8" si="0">+EOMONTH(F8,1)</f>
        <v>45382</v>
      </c>
      <c r="H8" s="100">
        <f t="shared" si="0"/>
        <v>45412</v>
      </c>
      <c r="I8" s="100">
        <f t="shared" si="0"/>
        <v>45443</v>
      </c>
      <c r="J8" s="100">
        <f t="shared" si="0"/>
        <v>45473</v>
      </c>
      <c r="K8" s="100">
        <f t="shared" si="0"/>
        <v>45504</v>
      </c>
      <c r="L8" s="100">
        <f t="shared" si="0"/>
        <v>45535</v>
      </c>
      <c r="M8" s="100">
        <f t="shared" si="0"/>
        <v>45565</v>
      </c>
      <c r="N8" s="100">
        <f t="shared" si="0"/>
        <v>45596</v>
      </c>
      <c r="O8" s="100">
        <f t="shared" si="0"/>
        <v>45626</v>
      </c>
      <c r="P8" s="100">
        <f t="shared" si="0"/>
        <v>45657</v>
      </c>
      <c r="Q8" s="100">
        <f t="shared" si="0"/>
        <v>45688</v>
      </c>
      <c r="R8" s="100">
        <f t="shared" si="0"/>
        <v>45716</v>
      </c>
      <c r="S8" s="100">
        <f t="shared" si="0"/>
        <v>45747</v>
      </c>
      <c r="T8" s="100">
        <f t="shared" si="0"/>
        <v>45777</v>
      </c>
      <c r="U8" s="100">
        <f t="shared" si="0"/>
        <v>45808</v>
      </c>
      <c r="V8" s="100">
        <f t="shared" si="0"/>
        <v>45838</v>
      </c>
      <c r="W8" s="100">
        <f t="shared" si="0"/>
        <v>45869</v>
      </c>
      <c r="X8" s="100">
        <f t="shared" si="0"/>
        <v>45900</v>
      </c>
      <c r="Y8" s="100">
        <f t="shared" si="0"/>
        <v>45930</v>
      </c>
      <c r="Z8" s="100">
        <f t="shared" si="0"/>
        <v>45961</v>
      </c>
      <c r="AA8" s="100">
        <f t="shared" si="0"/>
        <v>45991</v>
      </c>
      <c r="AB8" s="100">
        <f t="shared" si="0"/>
        <v>46022</v>
      </c>
      <c r="AC8" s="100">
        <f t="shared" si="0"/>
        <v>46053</v>
      </c>
      <c r="AD8" s="100">
        <f t="shared" si="0"/>
        <v>46081</v>
      </c>
      <c r="AE8" s="100">
        <f t="shared" si="0"/>
        <v>46112</v>
      </c>
      <c r="AF8" s="100">
        <f t="shared" si="0"/>
        <v>46142</v>
      </c>
      <c r="AG8" s="100">
        <f t="shared" si="0"/>
        <v>46173</v>
      </c>
      <c r="AH8" s="100">
        <f t="shared" si="0"/>
        <v>46203</v>
      </c>
      <c r="AI8" s="100">
        <f t="shared" si="0"/>
        <v>46234</v>
      </c>
      <c r="AJ8" s="100">
        <f t="shared" si="0"/>
        <v>46265</v>
      </c>
      <c r="AK8" s="100">
        <f t="shared" si="0"/>
        <v>46295</v>
      </c>
      <c r="AL8" s="100">
        <f t="shared" si="0"/>
        <v>46326</v>
      </c>
      <c r="AM8" s="100">
        <f t="shared" si="0"/>
        <v>46356</v>
      </c>
      <c r="AN8" s="100">
        <f t="shared" si="0"/>
        <v>46387</v>
      </c>
      <c r="AO8" s="100">
        <f t="shared" si="0"/>
        <v>46418</v>
      </c>
      <c r="AP8" s="100">
        <f t="shared" si="0"/>
        <v>46446</v>
      </c>
      <c r="AQ8" s="100">
        <f t="shared" si="0"/>
        <v>46477</v>
      </c>
      <c r="AR8" s="100">
        <f t="shared" si="0"/>
        <v>46507</v>
      </c>
      <c r="AS8" s="100">
        <f t="shared" si="0"/>
        <v>46538</v>
      </c>
      <c r="AT8" s="100">
        <f t="shared" si="0"/>
        <v>46568</v>
      </c>
      <c r="AU8" s="100">
        <f t="shared" si="0"/>
        <v>46599</v>
      </c>
      <c r="AV8" s="100">
        <f t="shared" si="0"/>
        <v>46630</v>
      </c>
      <c r="AW8" s="100">
        <f t="shared" si="0"/>
        <v>46660</v>
      </c>
      <c r="AX8" s="100">
        <f t="shared" si="0"/>
        <v>46691</v>
      </c>
      <c r="AY8" s="100">
        <f t="shared" si="0"/>
        <v>46721</v>
      </c>
      <c r="AZ8" s="100">
        <f t="shared" si="0"/>
        <v>46752</v>
      </c>
      <c r="BA8" s="100">
        <f t="shared" si="0"/>
        <v>46783</v>
      </c>
      <c r="BB8" s="100">
        <f t="shared" si="0"/>
        <v>46812</v>
      </c>
      <c r="BC8" s="100">
        <f t="shared" si="0"/>
        <v>46843</v>
      </c>
      <c r="BD8" s="100">
        <f t="shared" si="0"/>
        <v>46873</v>
      </c>
      <c r="BE8" s="100">
        <f t="shared" si="0"/>
        <v>46904</v>
      </c>
      <c r="BF8" s="100">
        <f t="shared" si="0"/>
        <v>46934</v>
      </c>
      <c r="BG8" s="100">
        <f t="shared" si="0"/>
        <v>46965</v>
      </c>
      <c r="BH8" s="100">
        <f t="shared" si="0"/>
        <v>46996</v>
      </c>
      <c r="BI8" s="100">
        <f t="shared" si="0"/>
        <v>47026</v>
      </c>
      <c r="BJ8" s="100">
        <f t="shared" si="0"/>
        <v>47057</v>
      </c>
      <c r="BK8" s="100">
        <f t="shared" si="0"/>
        <v>47087</v>
      </c>
      <c r="BL8" s="100">
        <f t="shared" si="0"/>
        <v>47118</v>
      </c>
    </row>
    <row r="9" spans="1:69" s="544" customFormat="1" ht="31.5" x14ac:dyDescent="0.25">
      <c r="A9" s="541"/>
      <c r="B9" s="542" t="s">
        <v>3</v>
      </c>
      <c r="C9" s="541" t="s">
        <v>4</v>
      </c>
      <c r="D9" s="543" t="s">
        <v>41</v>
      </c>
      <c r="E9" s="541" t="str">
        <f>TEXT(E8,"mmmm")</f>
        <v>January</v>
      </c>
      <c r="F9" s="541" t="str">
        <f t="shared" ref="F9:BL9" si="1">TEXT(F8,"mmmm")</f>
        <v>February</v>
      </c>
      <c r="G9" s="541" t="str">
        <f t="shared" si="1"/>
        <v>March</v>
      </c>
      <c r="H9" s="541" t="str">
        <f t="shared" si="1"/>
        <v>April</v>
      </c>
      <c r="I9" s="541" t="str">
        <f t="shared" si="1"/>
        <v>May</v>
      </c>
      <c r="J9" s="541" t="str">
        <f t="shared" si="1"/>
        <v>June</v>
      </c>
      <c r="K9" s="541" t="str">
        <f t="shared" si="1"/>
        <v>July</v>
      </c>
      <c r="L9" s="541" t="str">
        <f t="shared" si="1"/>
        <v>August</v>
      </c>
      <c r="M9" s="541" t="str">
        <f t="shared" si="1"/>
        <v>September</v>
      </c>
      <c r="N9" s="541" t="str">
        <f t="shared" si="1"/>
        <v>October</v>
      </c>
      <c r="O9" s="541" t="str">
        <f t="shared" si="1"/>
        <v>November</v>
      </c>
      <c r="P9" s="541" t="str">
        <f t="shared" si="1"/>
        <v>December</v>
      </c>
      <c r="Q9" s="47" t="str">
        <f t="shared" si="1"/>
        <v>January</v>
      </c>
      <c r="R9" s="47" t="str">
        <f t="shared" si="1"/>
        <v>February</v>
      </c>
      <c r="S9" s="47" t="str">
        <f t="shared" si="1"/>
        <v>March</v>
      </c>
      <c r="T9" s="47" t="str">
        <f t="shared" si="1"/>
        <v>April</v>
      </c>
      <c r="U9" s="47" t="str">
        <f t="shared" si="1"/>
        <v>May</v>
      </c>
      <c r="V9" s="47" t="str">
        <f t="shared" si="1"/>
        <v>June</v>
      </c>
      <c r="W9" s="47" t="str">
        <f t="shared" si="1"/>
        <v>July</v>
      </c>
      <c r="X9" s="47" t="str">
        <f t="shared" si="1"/>
        <v>August</v>
      </c>
      <c r="Y9" s="47" t="str">
        <f t="shared" si="1"/>
        <v>September</v>
      </c>
      <c r="Z9" s="47" t="str">
        <f t="shared" si="1"/>
        <v>October</v>
      </c>
      <c r="AA9" s="47" t="str">
        <f t="shared" si="1"/>
        <v>November</v>
      </c>
      <c r="AB9" s="47" t="str">
        <f t="shared" si="1"/>
        <v>December</v>
      </c>
      <c r="AC9" s="47" t="str">
        <f t="shared" si="1"/>
        <v>January</v>
      </c>
      <c r="AD9" s="47" t="str">
        <f t="shared" si="1"/>
        <v>February</v>
      </c>
      <c r="AE9" s="47" t="str">
        <f t="shared" si="1"/>
        <v>March</v>
      </c>
      <c r="AF9" s="47" t="str">
        <f t="shared" si="1"/>
        <v>April</v>
      </c>
      <c r="AG9" s="47" t="str">
        <f t="shared" si="1"/>
        <v>May</v>
      </c>
      <c r="AH9" s="47" t="str">
        <f t="shared" si="1"/>
        <v>June</v>
      </c>
      <c r="AI9" s="47" t="str">
        <f t="shared" si="1"/>
        <v>July</v>
      </c>
      <c r="AJ9" s="47" t="str">
        <f t="shared" si="1"/>
        <v>August</v>
      </c>
      <c r="AK9" s="47" t="str">
        <f t="shared" si="1"/>
        <v>September</v>
      </c>
      <c r="AL9" s="47" t="str">
        <f t="shared" si="1"/>
        <v>October</v>
      </c>
      <c r="AM9" s="47" t="str">
        <f t="shared" si="1"/>
        <v>November</v>
      </c>
      <c r="AN9" s="47" t="str">
        <f t="shared" si="1"/>
        <v>December</v>
      </c>
      <c r="AO9" s="47" t="str">
        <f t="shared" si="1"/>
        <v>January</v>
      </c>
      <c r="AP9" s="47" t="str">
        <f t="shared" si="1"/>
        <v>February</v>
      </c>
      <c r="AQ9" s="47" t="str">
        <f t="shared" si="1"/>
        <v>March</v>
      </c>
      <c r="AR9" s="47" t="str">
        <f t="shared" si="1"/>
        <v>April</v>
      </c>
      <c r="AS9" s="47" t="str">
        <f t="shared" si="1"/>
        <v>May</v>
      </c>
      <c r="AT9" s="47" t="str">
        <f t="shared" si="1"/>
        <v>June</v>
      </c>
      <c r="AU9" s="47" t="str">
        <f t="shared" si="1"/>
        <v>July</v>
      </c>
      <c r="AV9" s="47" t="str">
        <f t="shared" si="1"/>
        <v>August</v>
      </c>
      <c r="AW9" s="47" t="str">
        <f t="shared" si="1"/>
        <v>September</v>
      </c>
      <c r="AX9" s="47" t="str">
        <f t="shared" si="1"/>
        <v>October</v>
      </c>
      <c r="AY9" s="47" t="str">
        <f t="shared" si="1"/>
        <v>November</v>
      </c>
      <c r="AZ9" s="47" t="str">
        <f t="shared" si="1"/>
        <v>December</v>
      </c>
      <c r="BA9" s="47" t="str">
        <f t="shared" si="1"/>
        <v>January</v>
      </c>
      <c r="BB9" s="47" t="str">
        <f t="shared" si="1"/>
        <v>February</v>
      </c>
      <c r="BC9" s="47" t="str">
        <f t="shared" si="1"/>
        <v>March</v>
      </c>
      <c r="BD9" s="47" t="str">
        <f t="shared" si="1"/>
        <v>April</v>
      </c>
      <c r="BE9" s="47" t="str">
        <f t="shared" si="1"/>
        <v>May</v>
      </c>
      <c r="BF9" s="47" t="str">
        <f t="shared" si="1"/>
        <v>June</v>
      </c>
      <c r="BG9" s="47" t="str">
        <f t="shared" si="1"/>
        <v>July</v>
      </c>
      <c r="BH9" s="47" t="str">
        <f t="shared" si="1"/>
        <v>August</v>
      </c>
      <c r="BI9" s="47" t="str">
        <f t="shared" si="1"/>
        <v>September</v>
      </c>
      <c r="BJ9" s="47" t="str">
        <f t="shared" si="1"/>
        <v>October</v>
      </c>
      <c r="BK9" s="541" t="str">
        <f t="shared" si="1"/>
        <v>November</v>
      </c>
      <c r="BL9" s="541" t="str">
        <f t="shared" si="1"/>
        <v>December</v>
      </c>
    </row>
    <row r="10" spans="1:69" x14ac:dyDescent="0.25">
      <c r="B10" s="10" cm="1">
        <f t="array" ref="B10:B82">_xlfn._xlws.FILTER(_xlfn.UNIQUE('Chart of Accounts'!B4:B76),'Chart of Accounts'!B4:B76&lt;&gt;0)</f>
        <v>1000</v>
      </c>
      <c r="C10" s="10" t="str">
        <f>VLOOKUP(B10,'Chart of Accounts'!$B$3:$C$95,2,0)</f>
        <v>Investments, at fair value</v>
      </c>
      <c r="D10" s="525">
        <f>SUM(E10:P10)</f>
        <v>5800000</v>
      </c>
      <c r="E10" s="43">
        <f>SUMIFS('Journal Entries'!$L:$L,'Journal Entries'!$K:$K,$C10,'Journal Entries'!$C:$C,"&lt;="&amp;E$8,'Journal Entries'!$C:$C,"&gt;"&amp;D$8)</f>
        <v>5400000</v>
      </c>
      <c r="F10" s="43">
        <f>SUMIFS('Journal Entries'!$L:$L,'Journal Entries'!$K:$K,$C10,'Journal Entries'!$C:$C,"&lt;="&amp;F$8,'Journal Entries'!$C:$C,"&gt;"&amp;E$8)</f>
        <v>0</v>
      </c>
      <c r="G10" s="43">
        <f>SUMIFS('Journal Entries'!$L:$L,'Journal Entries'!$K:$K,$C10,'Journal Entries'!$C:$C,"&lt;="&amp;G$8,'Journal Entries'!$C:$C,"&gt;"&amp;F$8)</f>
        <v>0</v>
      </c>
      <c r="H10" s="43">
        <f>SUMIFS('Journal Entries'!$L:$L,'Journal Entries'!$K:$K,$C10,'Journal Entries'!$C:$C,"&lt;="&amp;H$8,'Journal Entries'!$C:$C,"&gt;"&amp;G$8)</f>
        <v>0</v>
      </c>
      <c r="I10" s="43">
        <f>SUMIFS('Journal Entries'!$L:$L,'Journal Entries'!$K:$K,$C10,'Journal Entries'!$C:$C,"&lt;="&amp;I$8,'Journal Entries'!$C:$C,"&gt;"&amp;H$8)</f>
        <v>4000000</v>
      </c>
      <c r="J10" s="43">
        <f>SUMIFS('Journal Entries'!$L:$L,'Journal Entries'!$K:$K,$C10,'Journal Entries'!$C:$C,"&lt;="&amp;J$8,'Journal Entries'!$C:$C,"&gt;"&amp;I$8)</f>
        <v>0</v>
      </c>
      <c r="K10" s="43">
        <f>SUMIFS('Journal Entries'!$L:$L,'Journal Entries'!$K:$K,$C10,'Journal Entries'!$C:$C,"&lt;="&amp;K$8,'Journal Entries'!$C:$C,"&gt;"&amp;J$8)</f>
        <v>0</v>
      </c>
      <c r="L10" s="43">
        <f>SUMIFS('Journal Entries'!$L:$L,'Journal Entries'!$K:$K,$C10,'Journal Entries'!$C:$C,"&lt;="&amp;L$8,'Journal Entries'!$C:$C,"&gt;"&amp;K$8)</f>
        <v>0</v>
      </c>
      <c r="M10" s="43">
        <f>SUMIFS('Journal Entries'!$L:$L,'Journal Entries'!$K:$K,$C10,'Journal Entries'!$C:$C,"&lt;="&amp;M$8,'Journal Entries'!$C:$C,"&gt;"&amp;L$8)</f>
        <v>0</v>
      </c>
      <c r="N10" s="43">
        <f>SUMIFS('Journal Entries'!$L:$L,'Journal Entries'!$K:$K,$C10,'Journal Entries'!$C:$C,"&lt;="&amp;N$8,'Journal Entries'!$C:$C,"&gt;"&amp;M$8)</f>
        <v>0</v>
      </c>
      <c r="O10" s="43">
        <f>SUMIFS('Journal Entries'!$L:$L,'Journal Entries'!$K:$K,$C10,'Journal Entries'!$C:$C,"&lt;="&amp;O$8,'Journal Entries'!$C:$C,"&gt;"&amp;N$8)</f>
        <v>-4600000</v>
      </c>
      <c r="P10" s="43">
        <f>SUMIFS('Journal Entries'!$L:$L,'Journal Entries'!$K:$K,$C10,'Journal Entries'!$C:$C,"&lt;="&amp;P$8,'Journal Entries'!$C:$C,"&gt;"&amp;O$8)</f>
        <v>1000000</v>
      </c>
      <c r="Q10" s="43">
        <f>SUMIFS('Journal Entries'!$L:$L,'Journal Entries'!$K:$K,$C10,'Journal Entries'!$C:$C,"&lt;="&amp;Q$8,'Journal Entries'!$C:$C,"&gt;"&amp;P$8)</f>
        <v>0</v>
      </c>
      <c r="R10" s="43">
        <f>SUMIFS('Journal Entries'!$L:$L,'Journal Entries'!$K:$K,$C10,'Journal Entries'!$C:$C,"&lt;="&amp;R$8,'Journal Entries'!$C:$C,"&gt;"&amp;Q$8)</f>
        <v>0</v>
      </c>
      <c r="S10" s="43">
        <f>SUMIFS('Journal Entries'!$L:$L,'Journal Entries'!$K:$K,$C10,'Journal Entries'!$C:$C,"&lt;="&amp;S$8,'Journal Entries'!$C:$C,"&gt;"&amp;R$8)</f>
        <v>0</v>
      </c>
      <c r="T10" s="43">
        <f>SUMIFS('Journal Entries'!$L:$L,'Journal Entries'!$K:$K,$C10,'Journal Entries'!$C:$C,"&lt;="&amp;T$8,'Journal Entries'!$C:$C,"&gt;"&amp;S$8)</f>
        <v>0</v>
      </c>
      <c r="U10" s="43">
        <f>SUMIFS('Journal Entries'!$L:$L,'Journal Entries'!$K:$K,$C10,'Journal Entries'!$C:$C,"&lt;="&amp;U$8,'Journal Entries'!$C:$C,"&gt;"&amp;T$8)</f>
        <v>0</v>
      </c>
      <c r="V10" s="43">
        <f>SUMIFS('Journal Entries'!$L:$L,'Journal Entries'!$K:$K,$C10,'Journal Entries'!$C:$C,"&lt;="&amp;V$8,'Journal Entries'!$C:$C,"&gt;"&amp;U$8)</f>
        <v>0</v>
      </c>
      <c r="W10" s="43">
        <f>SUMIFS('Journal Entries'!$L:$L,'Journal Entries'!$K:$K,$C10,'Journal Entries'!$C:$C,"&lt;="&amp;W$8,'Journal Entries'!$C:$C,"&gt;"&amp;V$8)</f>
        <v>0</v>
      </c>
      <c r="X10" s="43">
        <f>SUMIFS('Journal Entries'!$L:$L,'Journal Entries'!$K:$K,$C10,'Journal Entries'!$C:$C,"&lt;="&amp;X$8,'Journal Entries'!$C:$C,"&gt;"&amp;W$8)</f>
        <v>0</v>
      </c>
      <c r="Y10" s="43">
        <f>SUMIFS('Journal Entries'!$L:$L,'Journal Entries'!$K:$K,$C10,'Journal Entries'!$C:$C,"&lt;="&amp;Y$8,'Journal Entries'!$C:$C,"&gt;"&amp;X$8)</f>
        <v>0</v>
      </c>
      <c r="Z10" s="43">
        <f>SUMIFS('Journal Entries'!$L:$L,'Journal Entries'!$K:$K,$C10,'Journal Entries'!$C:$C,"&lt;="&amp;Z$8,'Journal Entries'!$C:$C,"&gt;"&amp;Y$8)</f>
        <v>0</v>
      </c>
      <c r="AA10" s="43">
        <f>SUMIFS('Journal Entries'!$L:$L,'Journal Entries'!$K:$K,$C10,'Journal Entries'!$C:$C,"&lt;="&amp;AA$8,'Journal Entries'!$C:$C,"&gt;"&amp;Z$8)</f>
        <v>0</v>
      </c>
      <c r="AB10" s="43">
        <f>SUMIFS('Journal Entries'!$L:$L,'Journal Entries'!$K:$K,$C10,'Journal Entries'!$C:$C,"&lt;="&amp;AB$8,'Journal Entries'!$C:$C,"&gt;"&amp;AA$8)</f>
        <v>0</v>
      </c>
      <c r="AC10" s="43">
        <f>SUMIFS('Journal Entries'!$L:$L,'Journal Entries'!$K:$K,$C10,'Journal Entries'!$C:$C,"&lt;="&amp;AC$8,'Journal Entries'!$C:$C,"&gt;"&amp;AB$8)</f>
        <v>0</v>
      </c>
      <c r="AD10" s="43">
        <f>SUMIFS('Journal Entries'!$L:$L,'Journal Entries'!$K:$K,$C10,'Journal Entries'!$C:$C,"&lt;="&amp;AD$8,'Journal Entries'!$C:$C,"&gt;"&amp;AC$8)</f>
        <v>0</v>
      </c>
      <c r="AE10" s="43">
        <f>SUMIFS('Journal Entries'!$L:$L,'Journal Entries'!$K:$K,$C10,'Journal Entries'!$C:$C,"&lt;="&amp;AE$8,'Journal Entries'!$C:$C,"&gt;"&amp;AD$8)</f>
        <v>0</v>
      </c>
      <c r="AF10" s="43">
        <f>SUMIFS('Journal Entries'!$L:$L,'Journal Entries'!$K:$K,$C10,'Journal Entries'!$C:$C,"&lt;="&amp;AF$8,'Journal Entries'!$C:$C,"&gt;"&amp;AE$8)</f>
        <v>0</v>
      </c>
      <c r="AG10" s="43">
        <f>SUMIFS('Journal Entries'!$L:$L,'Journal Entries'!$K:$K,$C10,'Journal Entries'!$C:$C,"&lt;="&amp;AG$8,'Journal Entries'!$C:$C,"&gt;"&amp;AF$8)</f>
        <v>0</v>
      </c>
      <c r="AH10" s="43">
        <f>SUMIFS('Journal Entries'!$L:$L,'Journal Entries'!$K:$K,$C10,'Journal Entries'!$C:$C,"&lt;="&amp;AH$8,'Journal Entries'!$C:$C,"&gt;"&amp;AG$8)</f>
        <v>0</v>
      </c>
      <c r="AI10" s="43">
        <f>SUMIFS('Journal Entries'!$L:$L,'Journal Entries'!$K:$K,$C10,'Journal Entries'!$C:$C,"&lt;="&amp;AI$8,'Journal Entries'!$C:$C,"&gt;"&amp;AH$8)</f>
        <v>0</v>
      </c>
      <c r="AJ10" s="43">
        <f>SUMIFS('Journal Entries'!$L:$L,'Journal Entries'!$K:$K,$C10,'Journal Entries'!$C:$C,"&lt;="&amp;AJ$8,'Journal Entries'!$C:$C,"&gt;"&amp;AI$8)</f>
        <v>0</v>
      </c>
      <c r="AK10" s="43">
        <f>SUMIFS('Journal Entries'!$L:$L,'Journal Entries'!$K:$K,$C10,'Journal Entries'!$C:$C,"&lt;="&amp;AK$8,'Journal Entries'!$C:$C,"&gt;"&amp;AJ$8)</f>
        <v>0</v>
      </c>
      <c r="AL10" s="43">
        <f>SUMIFS('Journal Entries'!$L:$L,'Journal Entries'!$K:$K,$C10,'Journal Entries'!$C:$C,"&lt;="&amp;AL$8,'Journal Entries'!$C:$C,"&gt;"&amp;AK$8)</f>
        <v>0</v>
      </c>
      <c r="AM10" s="43">
        <f>SUMIFS('Journal Entries'!$L:$L,'Journal Entries'!$K:$K,$C10,'Journal Entries'!$C:$C,"&lt;="&amp;AM$8,'Journal Entries'!$C:$C,"&gt;"&amp;AL$8)</f>
        <v>0</v>
      </c>
      <c r="AN10" s="43">
        <f>SUMIFS('Journal Entries'!$L:$L,'Journal Entries'!$K:$K,$C10,'Journal Entries'!$C:$C,"&lt;="&amp;AN$8,'Journal Entries'!$C:$C,"&gt;"&amp;AM$8)</f>
        <v>0</v>
      </c>
      <c r="AO10" s="43">
        <f>SUMIFS('Journal Entries'!$L:$L,'Journal Entries'!$K:$K,$C10,'Journal Entries'!$C:$C,"&lt;="&amp;AO$8,'Journal Entries'!$C:$C,"&gt;"&amp;AN$8)</f>
        <v>0</v>
      </c>
      <c r="AP10" s="43">
        <f>SUMIFS('Journal Entries'!$L:$L,'Journal Entries'!$K:$K,$C10,'Journal Entries'!$C:$C,"&lt;="&amp;AP$8,'Journal Entries'!$C:$C,"&gt;"&amp;AO$8)</f>
        <v>0</v>
      </c>
      <c r="AQ10" s="43">
        <f>SUMIFS('Journal Entries'!$L:$L,'Journal Entries'!$K:$K,$C10,'Journal Entries'!$C:$C,"&lt;="&amp;AQ$8,'Journal Entries'!$C:$C,"&gt;"&amp;AP$8)</f>
        <v>0</v>
      </c>
      <c r="AR10" s="43">
        <f>SUMIFS('Journal Entries'!$L:$L,'Journal Entries'!$K:$K,$C10,'Journal Entries'!$C:$C,"&lt;="&amp;AR$8,'Journal Entries'!$C:$C,"&gt;"&amp;AQ$8)</f>
        <v>0</v>
      </c>
      <c r="AS10" s="43">
        <f>SUMIFS('Journal Entries'!$L:$L,'Journal Entries'!$K:$K,$C10,'Journal Entries'!$C:$C,"&lt;="&amp;AS$8,'Journal Entries'!$C:$C,"&gt;"&amp;AR$8)</f>
        <v>0</v>
      </c>
      <c r="AT10" s="43">
        <f>SUMIFS('Journal Entries'!$L:$L,'Journal Entries'!$K:$K,$C10,'Journal Entries'!$C:$C,"&lt;="&amp;AT$8,'Journal Entries'!$C:$C,"&gt;"&amp;AS$8)</f>
        <v>0</v>
      </c>
      <c r="AU10" s="43">
        <f>SUMIFS('Journal Entries'!$L:$L,'Journal Entries'!$K:$K,$C10,'Journal Entries'!$C:$C,"&lt;="&amp;AU$8,'Journal Entries'!$C:$C,"&gt;"&amp;AT$8)</f>
        <v>0</v>
      </c>
      <c r="AV10" s="43">
        <f>SUMIFS('Journal Entries'!$L:$L,'Journal Entries'!$K:$K,$C10,'Journal Entries'!$C:$C,"&lt;="&amp;AV$8,'Journal Entries'!$C:$C,"&gt;"&amp;AU$8)</f>
        <v>0</v>
      </c>
      <c r="AW10" s="43">
        <f>SUMIFS('Journal Entries'!$L:$L,'Journal Entries'!$K:$K,$C10,'Journal Entries'!$C:$C,"&lt;="&amp;AW$8,'Journal Entries'!$C:$C,"&gt;"&amp;AV$8)</f>
        <v>0</v>
      </c>
      <c r="AX10" s="43">
        <f>SUMIFS('Journal Entries'!$L:$L,'Journal Entries'!$K:$K,$C10,'Journal Entries'!$C:$C,"&lt;="&amp;AX$8,'Journal Entries'!$C:$C,"&gt;"&amp;AW$8)</f>
        <v>0</v>
      </c>
      <c r="AY10" s="43">
        <f>SUMIFS('Journal Entries'!$L:$L,'Journal Entries'!$K:$K,$C10,'Journal Entries'!$C:$C,"&lt;="&amp;AY$8,'Journal Entries'!$C:$C,"&gt;"&amp;AX$8)</f>
        <v>0</v>
      </c>
      <c r="AZ10" s="43">
        <f>SUMIFS('Journal Entries'!$L:$L,'Journal Entries'!$K:$K,$C10,'Journal Entries'!$C:$C,"&lt;="&amp;AZ$8,'Journal Entries'!$C:$C,"&gt;"&amp;AY$8)</f>
        <v>0</v>
      </c>
      <c r="BA10" s="43">
        <f>SUMIFS('Journal Entries'!$L:$L,'Journal Entries'!$K:$K,$C10,'Journal Entries'!$C:$C,"&lt;="&amp;BA$8,'Journal Entries'!$C:$C,"&gt;"&amp;AZ$8)</f>
        <v>0</v>
      </c>
      <c r="BB10" s="43">
        <f>SUMIFS('Journal Entries'!$L:$L,'Journal Entries'!$K:$K,$C10,'Journal Entries'!$C:$C,"&lt;="&amp;BB$8,'Journal Entries'!$C:$C,"&gt;"&amp;BA$8)</f>
        <v>0</v>
      </c>
      <c r="BC10" s="43">
        <f>SUMIFS('Journal Entries'!$L:$L,'Journal Entries'!$K:$K,$C10,'Journal Entries'!$C:$C,"&lt;="&amp;BC$8,'Journal Entries'!$C:$C,"&gt;"&amp;BB$8)</f>
        <v>0</v>
      </c>
      <c r="BD10" s="43">
        <f>SUMIFS('Journal Entries'!$L:$L,'Journal Entries'!$K:$K,$C10,'Journal Entries'!$C:$C,"&lt;="&amp;BD$8,'Journal Entries'!$C:$C,"&gt;"&amp;BC$8)</f>
        <v>0</v>
      </c>
      <c r="BE10" s="43">
        <f>SUMIFS('Journal Entries'!$L:$L,'Journal Entries'!$K:$K,$C10,'Journal Entries'!$C:$C,"&lt;="&amp;BE$8,'Journal Entries'!$C:$C,"&gt;"&amp;BD$8)</f>
        <v>0</v>
      </c>
      <c r="BF10" s="43">
        <f>SUMIFS('Journal Entries'!$L:$L,'Journal Entries'!$K:$K,$C10,'Journal Entries'!$C:$C,"&lt;="&amp;BF$8,'Journal Entries'!$C:$C,"&gt;"&amp;BE$8)</f>
        <v>0</v>
      </c>
      <c r="BG10" s="43">
        <f>SUMIFS('Journal Entries'!$L:$L,'Journal Entries'!$K:$K,$C10,'Journal Entries'!$C:$C,"&lt;="&amp;BG$8,'Journal Entries'!$C:$C,"&gt;"&amp;BF$8)</f>
        <v>0</v>
      </c>
      <c r="BH10" s="43">
        <f>SUMIFS('Journal Entries'!$L:$L,'Journal Entries'!$K:$K,$C10,'Journal Entries'!$C:$C,"&lt;="&amp;BH$8,'Journal Entries'!$C:$C,"&gt;"&amp;BG$8)</f>
        <v>0</v>
      </c>
      <c r="BI10" s="43">
        <f>SUMIFS('Journal Entries'!$L:$L,'Journal Entries'!$K:$K,$C10,'Journal Entries'!$C:$C,"&lt;="&amp;BI$8,'Journal Entries'!$C:$C,"&gt;"&amp;BH$8)</f>
        <v>0</v>
      </c>
      <c r="BJ10" s="43">
        <f>SUMIFS('Journal Entries'!$L:$L,'Journal Entries'!$K:$K,$C10,'Journal Entries'!$C:$C,"&lt;="&amp;BJ$8,'Journal Entries'!$C:$C,"&gt;"&amp;BI$8)</f>
        <v>0</v>
      </c>
      <c r="BK10" s="43">
        <f>SUMIFS('Journal Entries'!$L:$L,'Journal Entries'!$K:$K,$C10,'Journal Entries'!$C:$C,"&lt;="&amp;BK$8,'Journal Entries'!$C:$C,"&gt;"&amp;BJ$8)</f>
        <v>0</v>
      </c>
      <c r="BL10" s="43">
        <f>SUMIFS('Journal Entries'!$L:$L,'Journal Entries'!$K:$K,$C10,'Journal Entries'!$C:$C,"&lt;="&amp;BL$8,'Journal Entries'!$C:$C,"&gt;"&amp;BK$8)</f>
        <v>0</v>
      </c>
    </row>
    <row r="11" spans="1:69" x14ac:dyDescent="0.25">
      <c r="B11" s="10">
        <v>1010</v>
      </c>
      <c r="C11" s="10" t="str">
        <f>VLOOKUP(B11,'Chart of Accounts'!$B$3:$C$95,2,0)</f>
        <v>Cash and cash equivalents</v>
      </c>
      <c r="D11" s="525">
        <f t="shared" ref="D11:D74" si="2">SUM(E11:P11)</f>
        <v>3192297.6482735658</v>
      </c>
      <c r="E11" s="43">
        <f>SUMIFS('Journal Entries'!$L:$L,'Journal Entries'!$K:$K,$C11,'Journal Entries'!$C:$C,"&lt;="&amp;E$8,'Journal Entries'!$C:$C,"&gt;"&amp;D$8)</f>
        <v>194083.33333333334</v>
      </c>
      <c r="F11" s="43">
        <f>SUMIFS('Journal Entries'!$L:$L,'Journal Entries'!$K:$K,$C11,'Journal Entries'!$C:$C,"&lt;="&amp;F$8,'Journal Entries'!$C:$C,"&gt;"&amp;E$8)</f>
        <v>12416.666666666664</v>
      </c>
      <c r="G11" s="43">
        <f>SUMIFS('Journal Entries'!$L:$L,'Journal Entries'!$K:$K,$C11,'Journal Entries'!$C:$C,"&lt;="&amp;G$8,'Journal Entries'!$C:$C,"&gt;"&amp;F$8)</f>
        <v>-137583.33333333334</v>
      </c>
      <c r="H11" s="43">
        <f>SUMIFS('Journal Entries'!$L:$L,'Journal Entries'!$K:$K,$C11,'Journal Entries'!$C:$C,"&lt;="&amp;H$8,'Journal Entries'!$C:$C,"&gt;"&amp;G$8)</f>
        <v>12416.666666666664</v>
      </c>
      <c r="I11" s="43">
        <f>SUMIFS('Journal Entries'!$L:$L,'Journal Entries'!$K:$K,$C11,'Journal Entries'!$C:$C,"&lt;="&amp;I$8,'Journal Entries'!$C:$C,"&gt;"&amp;H$8)</f>
        <v>412416.66666666663</v>
      </c>
      <c r="J11" s="43">
        <f>SUMIFS('Journal Entries'!$L:$L,'Journal Entries'!$K:$K,$C11,'Journal Entries'!$C:$C,"&lt;="&amp;J$8,'Journal Entries'!$C:$C,"&gt;"&amp;I$8)</f>
        <v>79792.521181937889</v>
      </c>
      <c r="K11" s="43">
        <f>SUMIFS('Journal Entries'!$L:$L,'Journal Entries'!$K:$K,$C11,'Journal Entries'!$C:$C,"&lt;="&amp;K$8,'Journal Entries'!$C:$C,"&gt;"&amp;J$8)</f>
        <v>146459.18784860458</v>
      </c>
      <c r="L11" s="43">
        <f>SUMIFS('Journal Entries'!$L:$L,'Journal Entries'!$K:$K,$C11,'Journal Entries'!$C:$C,"&lt;="&amp;L$8,'Journal Entries'!$C:$C,"&gt;"&amp;K$8)</f>
        <v>146459.18784860458</v>
      </c>
      <c r="M11" s="43">
        <f>SUMIFS('Journal Entries'!$L:$L,'Journal Entries'!$K:$K,$C11,'Journal Entries'!$C:$C,"&lt;="&amp;M$8,'Journal Entries'!$C:$C,"&gt;"&amp;L$8)</f>
        <v>96459.187848604575</v>
      </c>
      <c r="N11" s="43">
        <f>SUMIFS('Journal Entries'!$L:$L,'Journal Entries'!$K:$K,$C11,'Journal Entries'!$C:$C,"&lt;="&amp;N$8,'Journal Entries'!$C:$C,"&gt;"&amp;M$8)</f>
        <v>146459.18784860458</v>
      </c>
      <c r="O11" s="43">
        <f>SUMIFS('Journal Entries'!$L:$L,'Journal Entries'!$K:$K,$C11,'Journal Entries'!$C:$C,"&lt;="&amp;O$8,'Journal Entries'!$C:$C,"&gt;"&amp;N$8)</f>
        <v>9346459.1878486052</v>
      </c>
      <c r="P11" s="43">
        <f>SUMIFS('Journal Entries'!$L:$L,'Journal Entries'!$K:$K,$C11,'Journal Entries'!$C:$C,"&lt;="&amp;P$8,'Journal Entries'!$C:$C,"&gt;"&amp;O$8)</f>
        <v>-7263540.8121513957</v>
      </c>
      <c r="Q11" s="43">
        <f>SUMIFS('Journal Entries'!$L:$L,'Journal Entries'!$K:$K,$C11,'Journal Entries'!$C:$C,"&lt;="&amp;Q$8,'Journal Entries'!$C:$C,"&gt;"&amp;P$8)</f>
        <v>0</v>
      </c>
      <c r="R11" s="43">
        <f>SUMIFS('Journal Entries'!$L:$L,'Journal Entries'!$K:$K,$C11,'Journal Entries'!$C:$C,"&lt;="&amp;R$8,'Journal Entries'!$C:$C,"&gt;"&amp;Q$8)</f>
        <v>0</v>
      </c>
      <c r="S11" s="43">
        <f>SUMIFS('Journal Entries'!$L:$L,'Journal Entries'!$K:$K,$C11,'Journal Entries'!$C:$C,"&lt;="&amp;S$8,'Journal Entries'!$C:$C,"&gt;"&amp;R$8)</f>
        <v>0</v>
      </c>
      <c r="T11" s="43">
        <f>SUMIFS('Journal Entries'!$L:$L,'Journal Entries'!$K:$K,$C11,'Journal Entries'!$C:$C,"&lt;="&amp;T$8,'Journal Entries'!$C:$C,"&gt;"&amp;S$8)</f>
        <v>0</v>
      </c>
      <c r="U11" s="43">
        <f>SUMIFS('Journal Entries'!$L:$L,'Journal Entries'!$K:$K,$C11,'Journal Entries'!$C:$C,"&lt;="&amp;U$8,'Journal Entries'!$C:$C,"&gt;"&amp;T$8)</f>
        <v>0</v>
      </c>
      <c r="V11" s="43">
        <f>SUMIFS('Journal Entries'!$L:$L,'Journal Entries'!$K:$K,$C11,'Journal Entries'!$C:$C,"&lt;="&amp;V$8,'Journal Entries'!$C:$C,"&gt;"&amp;U$8)</f>
        <v>0</v>
      </c>
      <c r="W11" s="43">
        <f>SUMIFS('Journal Entries'!$L:$L,'Journal Entries'!$K:$K,$C11,'Journal Entries'!$C:$C,"&lt;="&amp;W$8,'Journal Entries'!$C:$C,"&gt;"&amp;V$8)</f>
        <v>0</v>
      </c>
      <c r="X11" s="43">
        <f>SUMIFS('Journal Entries'!$L:$L,'Journal Entries'!$K:$K,$C11,'Journal Entries'!$C:$C,"&lt;="&amp;X$8,'Journal Entries'!$C:$C,"&gt;"&amp;W$8)</f>
        <v>0</v>
      </c>
      <c r="Y11" s="43">
        <f>SUMIFS('Journal Entries'!$L:$L,'Journal Entries'!$K:$K,$C11,'Journal Entries'!$C:$C,"&lt;="&amp;Y$8,'Journal Entries'!$C:$C,"&gt;"&amp;X$8)</f>
        <v>0</v>
      </c>
      <c r="Z11" s="43">
        <f>SUMIFS('Journal Entries'!$L:$L,'Journal Entries'!$K:$K,$C11,'Journal Entries'!$C:$C,"&lt;="&amp;Z$8,'Journal Entries'!$C:$C,"&gt;"&amp;Y$8)</f>
        <v>0</v>
      </c>
      <c r="AA11" s="43">
        <f>SUMIFS('Journal Entries'!$L:$L,'Journal Entries'!$K:$K,$C11,'Journal Entries'!$C:$C,"&lt;="&amp;AA$8,'Journal Entries'!$C:$C,"&gt;"&amp;Z$8)</f>
        <v>0</v>
      </c>
      <c r="AB11" s="43">
        <f>SUMIFS('Journal Entries'!$L:$L,'Journal Entries'!$K:$K,$C11,'Journal Entries'!$C:$C,"&lt;="&amp;AB$8,'Journal Entries'!$C:$C,"&gt;"&amp;AA$8)</f>
        <v>0</v>
      </c>
      <c r="AC11" s="43">
        <f>SUMIFS('Journal Entries'!$L:$L,'Journal Entries'!$K:$K,$C11,'Journal Entries'!$C:$C,"&lt;="&amp;AC$8,'Journal Entries'!$C:$C,"&gt;"&amp;AB$8)</f>
        <v>0</v>
      </c>
      <c r="AD11" s="43">
        <f>SUMIFS('Journal Entries'!$L:$L,'Journal Entries'!$K:$K,$C11,'Journal Entries'!$C:$C,"&lt;="&amp;AD$8,'Journal Entries'!$C:$C,"&gt;"&amp;AC$8)</f>
        <v>0</v>
      </c>
      <c r="AE11" s="43">
        <f>SUMIFS('Journal Entries'!$L:$L,'Journal Entries'!$K:$K,$C11,'Journal Entries'!$C:$C,"&lt;="&amp;AE$8,'Journal Entries'!$C:$C,"&gt;"&amp;AD$8)</f>
        <v>0</v>
      </c>
      <c r="AF11" s="43">
        <f>SUMIFS('Journal Entries'!$L:$L,'Journal Entries'!$K:$K,$C11,'Journal Entries'!$C:$C,"&lt;="&amp;AF$8,'Journal Entries'!$C:$C,"&gt;"&amp;AE$8)</f>
        <v>0</v>
      </c>
      <c r="AG11" s="43">
        <f>SUMIFS('Journal Entries'!$L:$L,'Journal Entries'!$K:$K,$C11,'Journal Entries'!$C:$C,"&lt;="&amp;AG$8,'Journal Entries'!$C:$C,"&gt;"&amp;AF$8)</f>
        <v>0</v>
      </c>
      <c r="AH11" s="43">
        <f>SUMIFS('Journal Entries'!$L:$L,'Journal Entries'!$K:$K,$C11,'Journal Entries'!$C:$C,"&lt;="&amp;AH$8,'Journal Entries'!$C:$C,"&gt;"&amp;AG$8)</f>
        <v>0</v>
      </c>
      <c r="AI11" s="43">
        <f>SUMIFS('Journal Entries'!$L:$L,'Journal Entries'!$K:$K,$C11,'Journal Entries'!$C:$C,"&lt;="&amp;AI$8,'Journal Entries'!$C:$C,"&gt;"&amp;AH$8)</f>
        <v>0</v>
      </c>
      <c r="AJ11" s="43">
        <f>SUMIFS('Journal Entries'!$L:$L,'Journal Entries'!$K:$K,$C11,'Journal Entries'!$C:$C,"&lt;="&amp;AJ$8,'Journal Entries'!$C:$C,"&gt;"&amp;AI$8)</f>
        <v>0</v>
      </c>
      <c r="AK11" s="43">
        <f>SUMIFS('Journal Entries'!$L:$L,'Journal Entries'!$K:$K,$C11,'Journal Entries'!$C:$C,"&lt;="&amp;AK$8,'Journal Entries'!$C:$C,"&gt;"&amp;AJ$8)</f>
        <v>0</v>
      </c>
      <c r="AL11" s="43">
        <f>SUMIFS('Journal Entries'!$L:$L,'Journal Entries'!$K:$K,$C11,'Journal Entries'!$C:$C,"&lt;="&amp;AL$8,'Journal Entries'!$C:$C,"&gt;"&amp;AK$8)</f>
        <v>0</v>
      </c>
      <c r="AM11" s="43">
        <f>SUMIFS('Journal Entries'!$L:$L,'Journal Entries'!$K:$K,$C11,'Journal Entries'!$C:$C,"&lt;="&amp;AM$8,'Journal Entries'!$C:$C,"&gt;"&amp;AL$8)</f>
        <v>0</v>
      </c>
      <c r="AN11" s="43">
        <f>SUMIFS('Journal Entries'!$L:$L,'Journal Entries'!$K:$K,$C11,'Journal Entries'!$C:$C,"&lt;="&amp;AN$8,'Journal Entries'!$C:$C,"&gt;"&amp;AM$8)</f>
        <v>0</v>
      </c>
      <c r="AO11" s="43">
        <f>SUMIFS('Journal Entries'!$L:$L,'Journal Entries'!$K:$K,$C11,'Journal Entries'!$C:$C,"&lt;="&amp;AO$8,'Journal Entries'!$C:$C,"&gt;"&amp;AN$8)</f>
        <v>0</v>
      </c>
      <c r="AP11" s="43">
        <f>SUMIFS('Journal Entries'!$L:$L,'Journal Entries'!$K:$K,$C11,'Journal Entries'!$C:$C,"&lt;="&amp;AP$8,'Journal Entries'!$C:$C,"&gt;"&amp;AO$8)</f>
        <v>0</v>
      </c>
      <c r="AQ11" s="43">
        <f>SUMIFS('Journal Entries'!$L:$L,'Journal Entries'!$K:$K,$C11,'Journal Entries'!$C:$C,"&lt;="&amp;AQ$8,'Journal Entries'!$C:$C,"&gt;"&amp;AP$8)</f>
        <v>0</v>
      </c>
      <c r="AR11" s="43">
        <f>SUMIFS('Journal Entries'!$L:$L,'Journal Entries'!$K:$K,$C11,'Journal Entries'!$C:$C,"&lt;="&amp;AR$8,'Journal Entries'!$C:$C,"&gt;"&amp;AQ$8)</f>
        <v>0</v>
      </c>
      <c r="AS11" s="43">
        <f>SUMIFS('Journal Entries'!$L:$L,'Journal Entries'!$K:$K,$C11,'Journal Entries'!$C:$C,"&lt;="&amp;AS$8,'Journal Entries'!$C:$C,"&gt;"&amp;AR$8)</f>
        <v>0</v>
      </c>
      <c r="AT11" s="43">
        <f>SUMIFS('Journal Entries'!$L:$L,'Journal Entries'!$K:$K,$C11,'Journal Entries'!$C:$C,"&lt;="&amp;AT$8,'Journal Entries'!$C:$C,"&gt;"&amp;AS$8)</f>
        <v>0</v>
      </c>
      <c r="AU11" s="43">
        <f>SUMIFS('Journal Entries'!$L:$L,'Journal Entries'!$K:$K,$C11,'Journal Entries'!$C:$C,"&lt;="&amp;AU$8,'Journal Entries'!$C:$C,"&gt;"&amp;AT$8)</f>
        <v>0</v>
      </c>
      <c r="AV11" s="43">
        <f>SUMIFS('Journal Entries'!$L:$L,'Journal Entries'!$K:$K,$C11,'Journal Entries'!$C:$C,"&lt;="&amp;AV$8,'Journal Entries'!$C:$C,"&gt;"&amp;AU$8)</f>
        <v>0</v>
      </c>
      <c r="AW11" s="43">
        <f>SUMIFS('Journal Entries'!$L:$L,'Journal Entries'!$K:$K,$C11,'Journal Entries'!$C:$C,"&lt;="&amp;AW$8,'Journal Entries'!$C:$C,"&gt;"&amp;AV$8)</f>
        <v>0</v>
      </c>
      <c r="AX11" s="43">
        <f>SUMIFS('Journal Entries'!$L:$L,'Journal Entries'!$K:$K,$C11,'Journal Entries'!$C:$C,"&lt;="&amp;AX$8,'Journal Entries'!$C:$C,"&gt;"&amp;AW$8)</f>
        <v>0</v>
      </c>
      <c r="AY11" s="43">
        <f>SUMIFS('Journal Entries'!$L:$L,'Journal Entries'!$K:$K,$C11,'Journal Entries'!$C:$C,"&lt;="&amp;AY$8,'Journal Entries'!$C:$C,"&gt;"&amp;AX$8)</f>
        <v>0</v>
      </c>
      <c r="AZ11" s="43">
        <f>SUMIFS('Journal Entries'!$L:$L,'Journal Entries'!$K:$K,$C11,'Journal Entries'!$C:$C,"&lt;="&amp;AZ$8,'Journal Entries'!$C:$C,"&gt;"&amp;AY$8)</f>
        <v>0</v>
      </c>
      <c r="BA11" s="43">
        <f>SUMIFS('Journal Entries'!$L:$L,'Journal Entries'!$K:$K,$C11,'Journal Entries'!$C:$C,"&lt;="&amp;BA$8,'Journal Entries'!$C:$C,"&gt;"&amp;AZ$8)</f>
        <v>0</v>
      </c>
      <c r="BB11" s="43">
        <f>SUMIFS('Journal Entries'!$L:$L,'Journal Entries'!$K:$K,$C11,'Journal Entries'!$C:$C,"&lt;="&amp;BB$8,'Journal Entries'!$C:$C,"&gt;"&amp;BA$8)</f>
        <v>0</v>
      </c>
      <c r="BC11" s="43">
        <f>SUMIFS('Journal Entries'!$L:$L,'Journal Entries'!$K:$K,$C11,'Journal Entries'!$C:$C,"&lt;="&amp;BC$8,'Journal Entries'!$C:$C,"&gt;"&amp;BB$8)</f>
        <v>0</v>
      </c>
      <c r="BD11" s="43">
        <f>SUMIFS('Journal Entries'!$L:$L,'Journal Entries'!$K:$K,$C11,'Journal Entries'!$C:$C,"&lt;="&amp;BD$8,'Journal Entries'!$C:$C,"&gt;"&amp;BC$8)</f>
        <v>0</v>
      </c>
      <c r="BE11" s="43">
        <f>SUMIFS('Journal Entries'!$L:$L,'Journal Entries'!$K:$K,$C11,'Journal Entries'!$C:$C,"&lt;="&amp;BE$8,'Journal Entries'!$C:$C,"&gt;"&amp;BD$8)</f>
        <v>0</v>
      </c>
      <c r="BF11" s="43">
        <f>SUMIFS('Journal Entries'!$L:$L,'Journal Entries'!$K:$K,$C11,'Journal Entries'!$C:$C,"&lt;="&amp;BF$8,'Journal Entries'!$C:$C,"&gt;"&amp;BE$8)</f>
        <v>0</v>
      </c>
      <c r="BG11" s="43">
        <f>SUMIFS('Journal Entries'!$L:$L,'Journal Entries'!$K:$K,$C11,'Journal Entries'!$C:$C,"&lt;="&amp;BG$8,'Journal Entries'!$C:$C,"&gt;"&amp;BF$8)</f>
        <v>0</v>
      </c>
      <c r="BH11" s="43">
        <f>SUMIFS('Journal Entries'!$L:$L,'Journal Entries'!$K:$K,$C11,'Journal Entries'!$C:$C,"&lt;="&amp;BH$8,'Journal Entries'!$C:$C,"&gt;"&amp;BG$8)</f>
        <v>0</v>
      </c>
      <c r="BI11" s="43">
        <f>SUMIFS('Journal Entries'!$L:$L,'Journal Entries'!$K:$K,$C11,'Journal Entries'!$C:$C,"&lt;="&amp;BI$8,'Journal Entries'!$C:$C,"&gt;"&amp;BH$8)</f>
        <v>0</v>
      </c>
      <c r="BJ11" s="43">
        <f>SUMIFS('Journal Entries'!$L:$L,'Journal Entries'!$K:$K,$C11,'Journal Entries'!$C:$C,"&lt;="&amp;BJ$8,'Journal Entries'!$C:$C,"&gt;"&amp;BI$8)</f>
        <v>0</v>
      </c>
      <c r="BK11" s="43">
        <f>SUMIFS('Journal Entries'!$L:$L,'Journal Entries'!$K:$K,$C11,'Journal Entries'!$C:$C,"&lt;="&amp;BK$8,'Journal Entries'!$C:$C,"&gt;"&amp;BJ$8)</f>
        <v>0</v>
      </c>
      <c r="BL11" s="43">
        <f>SUMIFS('Journal Entries'!$L:$L,'Journal Entries'!$K:$K,$C11,'Journal Entries'!$C:$C,"&lt;="&amp;BL$8,'Journal Entries'!$C:$C,"&gt;"&amp;BK$8)</f>
        <v>0</v>
      </c>
    </row>
    <row r="12" spans="1:69" x14ac:dyDescent="0.25">
      <c r="B12" s="10">
        <v>1020</v>
      </c>
      <c r="C12" s="10" t="str">
        <f>VLOOKUP(B12,'Chart of Accounts'!$B$3:$C$95,2,0)</f>
        <v>Interest receivable</v>
      </c>
      <c r="D12" s="525">
        <f t="shared" si="2"/>
        <v>0</v>
      </c>
      <c r="E12" s="43">
        <f>SUMIFS('Journal Entries'!$L:$L,'Journal Entries'!$K:$K,$C12,'Journal Entries'!$C:$C,"&lt;="&amp;E$8,'Journal Entries'!$C:$C,"&gt;"&amp;D$8)</f>
        <v>0</v>
      </c>
      <c r="F12" s="43">
        <f>SUMIFS('Journal Entries'!$L:$L,'Journal Entries'!$K:$K,$C12,'Journal Entries'!$C:$C,"&lt;="&amp;F$8,'Journal Entries'!$C:$C,"&gt;"&amp;E$8)</f>
        <v>0</v>
      </c>
      <c r="G12" s="43">
        <f>SUMIFS('Journal Entries'!$L:$L,'Journal Entries'!$K:$K,$C12,'Journal Entries'!$C:$C,"&lt;="&amp;G$8,'Journal Entries'!$C:$C,"&gt;"&amp;F$8)</f>
        <v>0</v>
      </c>
      <c r="H12" s="43">
        <f>SUMIFS('Journal Entries'!$L:$L,'Journal Entries'!$K:$K,$C12,'Journal Entries'!$C:$C,"&lt;="&amp;H$8,'Journal Entries'!$C:$C,"&gt;"&amp;G$8)</f>
        <v>0</v>
      </c>
      <c r="I12" s="43">
        <f>SUMIFS('Journal Entries'!$L:$L,'Journal Entries'!$K:$K,$C12,'Journal Entries'!$C:$C,"&lt;="&amp;I$8,'Journal Entries'!$C:$C,"&gt;"&amp;H$8)</f>
        <v>0</v>
      </c>
      <c r="J12" s="43">
        <f>SUMIFS('Journal Entries'!$L:$L,'Journal Entries'!$K:$K,$C12,'Journal Entries'!$C:$C,"&lt;="&amp;J$8,'Journal Entries'!$C:$C,"&gt;"&amp;I$8)</f>
        <v>0</v>
      </c>
      <c r="K12" s="43">
        <f>SUMIFS('Journal Entries'!$L:$L,'Journal Entries'!$K:$K,$C12,'Journal Entries'!$C:$C,"&lt;="&amp;K$8,'Journal Entries'!$C:$C,"&gt;"&amp;J$8)</f>
        <v>0</v>
      </c>
      <c r="L12" s="43">
        <f>SUMIFS('Journal Entries'!$L:$L,'Journal Entries'!$K:$K,$C12,'Journal Entries'!$C:$C,"&lt;="&amp;L$8,'Journal Entries'!$C:$C,"&gt;"&amp;K$8)</f>
        <v>0</v>
      </c>
      <c r="M12" s="43">
        <f>SUMIFS('Journal Entries'!$L:$L,'Journal Entries'!$K:$K,$C12,'Journal Entries'!$C:$C,"&lt;="&amp;M$8,'Journal Entries'!$C:$C,"&gt;"&amp;L$8)</f>
        <v>0</v>
      </c>
      <c r="N12" s="43">
        <f>SUMIFS('Journal Entries'!$L:$L,'Journal Entries'!$K:$K,$C12,'Journal Entries'!$C:$C,"&lt;="&amp;N$8,'Journal Entries'!$C:$C,"&gt;"&amp;M$8)</f>
        <v>0</v>
      </c>
      <c r="O12" s="43">
        <f>SUMIFS('Journal Entries'!$L:$L,'Journal Entries'!$K:$K,$C12,'Journal Entries'!$C:$C,"&lt;="&amp;O$8,'Journal Entries'!$C:$C,"&gt;"&amp;N$8)</f>
        <v>0</v>
      </c>
      <c r="P12" s="43">
        <f>SUMIFS('Journal Entries'!$L:$L,'Journal Entries'!$K:$K,$C12,'Journal Entries'!$C:$C,"&lt;="&amp;P$8,'Journal Entries'!$C:$C,"&gt;"&amp;O$8)</f>
        <v>0</v>
      </c>
      <c r="Q12" s="43">
        <f>SUMIFS('Journal Entries'!$L:$L,'Journal Entries'!$K:$K,$C12,'Journal Entries'!$C:$C,"&lt;="&amp;Q$8,'Journal Entries'!$C:$C,"&gt;"&amp;P$8)</f>
        <v>0</v>
      </c>
      <c r="R12" s="43">
        <f>SUMIFS('Journal Entries'!$L:$L,'Journal Entries'!$K:$K,$C12,'Journal Entries'!$C:$C,"&lt;="&amp;R$8,'Journal Entries'!$C:$C,"&gt;"&amp;Q$8)</f>
        <v>0</v>
      </c>
      <c r="S12" s="43">
        <f>SUMIFS('Journal Entries'!$L:$L,'Journal Entries'!$K:$K,$C12,'Journal Entries'!$C:$C,"&lt;="&amp;S$8,'Journal Entries'!$C:$C,"&gt;"&amp;R$8)</f>
        <v>0</v>
      </c>
      <c r="T12" s="43">
        <f>SUMIFS('Journal Entries'!$L:$L,'Journal Entries'!$K:$K,$C12,'Journal Entries'!$C:$C,"&lt;="&amp;T$8,'Journal Entries'!$C:$C,"&gt;"&amp;S$8)</f>
        <v>0</v>
      </c>
      <c r="U12" s="43">
        <f>SUMIFS('Journal Entries'!$L:$L,'Journal Entries'!$K:$K,$C12,'Journal Entries'!$C:$C,"&lt;="&amp;U$8,'Journal Entries'!$C:$C,"&gt;"&amp;T$8)</f>
        <v>0</v>
      </c>
      <c r="V12" s="43">
        <f>SUMIFS('Journal Entries'!$L:$L,'Journal Entries'!$K:$K,$C12,'Journal Entries'!$C:$C,"&lt;="&amp;V$8,'Journal Entries'!$C:$C,"&gt;"&amp;U$8)</f>
        <v>0</v>
      </c>
      <c r="W12" s="43">
        <f>SUMIFS('Journal Entries'!$L:$L,'Journal Entries'!$K:$K,$C12,'Journal Entries'!$C:$C,"&lt;="&amp;W$8,'Journal Entries'!$C:$C,"&gt;"&amp;V$8)</f>
        <v>0</v>
      </c>
      <c r="X12" s="43">
        <f>SUMIFS('Journal Entries'!$L:$L,'Journal Entries'!$K:$K,$C12,'Journal Entries'!$C:$C,"&lt;="&amp;X$8,'Journal Entries'!$C:$C,"&gt;"&amp;W$8)</f>
        <v>0</v>
      </c>
      <c r="Y12" s="43">
        <f>SUMIFS('Journal Entries'!$L:$L,'Journal Entries'!$K:$K,$C12,'Journal Entries'!$C:$C,"&lt;="&amp;Y$8,'Journal Entries'!$C:$C,"&gt;"&amp;X$8)</f>
        <v>0</v>
      </c>
      <c r="Z12" s="43">
        <f>SUMIFS('Journal Entries'!$L:$L,'Journal Entries'!$K:$K,$C12,'Journal Entries'!$C:$C,"&lt;="&amp;Z$8,'Journal Entries'!$C:$C,"&gt;"&amp;Y$8)</f>
        <v>0</v>
      </c>
      <c r="AA12" s="43">
        <f>SUMIFS('Journal Entries'!$L:$L,'Journal Entries'!$K:$K,$C12,'Journal Entries'!$C:$C,"&lt;="&amp;AA$8,'Journal Entries'!$C:$C,"&gt;"&amp;Z$8)</f>
        <v>0</v>
      </c>
      <c r="AB12" s="43">
        <f>SUMIFS('Journal Entries'!$L:$L,'Journal Entries'!$K:$K,$C12,'Journal Entries'!$C:$C,"&lt;="&amp;AB$8,'Journal Entries'!$C:$C,"&gt;"&amp;AA$8)</f>
        <v>0</v>
      </c>
      <c r="AC12" s="43">
        <f>SUMIFS('Journal Entries'!$L:$L,'Journal Entries'!$K:$K,$C12,'Journal Entries'!$C:$C,"&lt;="&amp;AC$8,'Journal Entries'!$C:$C,"&gt;"&amp;AB$8)</f>
        <v>0</v>
      </c>
      <c r="AD12" s="43">
        <f>SUMIFS('Journal Entries'!$L:$L,'Journal Entries'!$K:$K,$C12,'Journal Entries'!$C:$C,"&lt;="&amp;AD$8,'Journal Entries'!$C:$C,"&gt;"&amp;AC$8)</f>
        <v>0</v>
      </c>
      <c r="AE12" s="43">
        <f>SUMIFS('Journal Entries'!$L:$L,'Journal Entries'!$K:$K,$C12,'Journal Entries'!$C:$C,"&lt;="&amp;AE$8,'Journal Entries'!$C:$C,"&gt;"&amp;AD$8)</f>
        <v>0</v>
      </c>
      <c r="AF12" s="43">
        <f>SUMIFS('Journal Entries'!$L:$L,'Journal Entries'!$K:$K,$C12,'Journal Entries'!$C:$C,"&lt;="&amp;AF$8,'Journal Entries'!$C:$C,"&gt;"&amp;AE$8)</f>
        <v>0</v>
      </c>
      <c r="AG12" s="43">
        <f>SUMIFS('Journal Entries'!$L:$L,'Journal Entries'!$K:$K,$C12,'Journal Entries'!$C:$C,"&lt;="&amp;AG$8,'Journal Entries'!$C:$C,"&gt;"&amp;AF$8)</f>
        <v>0</v>
      </c>
      <c r="AH12" s="43">
        <f>SUMIFS('Journal Entries'!$L:$L,'Journal Entries'!$K:$K,$C12,'Journal Entries'!$C:$C,"&lt;="&amp;AH$8,'Journal Entries'!$C:$C,"&gt;"&amp;AG$8)</f>
        <v>0</v>
      </c>
      <c r="AI12" s="43">
        <f>SUMIFS('Journal Entries'!$L:$L,'Journal Entries'!$K:$K,$C12,'Journal Entries'!$C:$C,"&lt;="&amp;AI$8,'Journal Entries'!$C:$C,"&gt;"&amp;AH$8)</f>
        <v>0</v>
      </c>
      <c r="AJ12" s="43">
        <f>SUMIFS('Journal Entries'!$L:$L,'Journal Entries'!$K:$K,$C12,'Journal Entries'!$C:$C,"&lt;="&amp;AJ$8,'Journal Entries'!$C:$C,"&gt;"&amp;AI$8)</f>
        <v>0</v>
      </c>
      <c r="AK12" s="43">
        <f>SUMIFS('Journal Entries'!$L:$L,'Journal Entries'!$K:$K,$C12,'Journal Entries'!$C:$C,"&lt;="&amp;AK$8,'Journal Entries'!$C:$C,"&gt;"&amp;AJ$8)</f>
        <v>0</v>
      </c>
      <c r="AL12" s="43">
        <f>SUMIFS('Journal Entries'!$L:$L,'Journal Entries'!$K:$K,$C12,'Journal Entries'!$C:$C,"&lt;="&amp;AL$8,'Journal Entries'!$C:$C,"&gt;"&amp;AK$8)</f>
        <v>0</v>
      </c>
      <c r="AM12" s="43">
        <f>SUMIFS('Journal Entries'!$L:$L,'Journal Entries'!$K:$K,$C12,'Journal Entries'!$C:$C,"&lt;="&amp;AM$8,'Journal Entries'!$C:$C,"&gt;"&amp;AL$8)</f>
        <v>0</v>
      </c>
      <c r="AN12" s="43">
        <f>SUMIFS('Journal Entries'!$L:$L,'Journal Entries'!$K:$K,$C12,'Journal Entries'!$C:$C,"&lt;="&amp;AN$8,'Journal Entries'!$C:$C,"&gt;"&amp;AM$8)</f>
        <v>0</v>
      </c>
      <c r="AO12" s="43">
        <f>SUMIFS('Journal Entries'!$L:$L,'Journal Entries'!$K:$K,$C12,'Journal Entries'!$C:$C,"&lt;="&amp;AO$8,'Journal Entries'!$C:$C,"&gt;"&amp;AN$8)</f>
        <v>0</v>
      </c>
      <c r="AP12" s="43">
        <f>SUMIFS('Journal Entries'!$L:$L,'Journal Entries'!$K:$K,$C12,'Journal Entries'!$C:$C,"&lt;="&amp;AP$8,'Journal Entries'!$C:$C,"&gt;"&amp;AO$8)</f>
        <v>0</v>
      </c>
      <c r="AQ12" s="43">
        <f>SUMIFS('Journal Entries'!$L:$L,'Journal Entries'!$K:$K,$C12,'Journal Entries'!$C:$C,"&lt;="&amp;AQ$8,'Journal Entries'!$C:$C,"&gt;"&amp;AP$8)</f>
        <v>0</v>
      </c>
      <c r="AR12" s="43">
        <f>SUMIFS('Journal Entries'!$L:$L,'Journal Entries'!$K:$K,$C12,'Journal Entries'!$C:$C,"&lt;="&amp;AR$8,'Journal Entries'!$C:$C,"&gt;"&amp;AQ$8)</f>
        <v>0</v>
      </c>
      <c r="AS12" s="43">
        <f>SUMIFS('Journal Entries'!$L:$L,'Journal Entries'!$K:$K,$C12,'Journal Entries'!$C:$C,"&lt;="&amp;AS$8,'Journal Entries'!$C:$C,"&gt;"&amp;AR$8)</f>
        <v>0</v>
      </c>
      <c r="AT12" s="43">
        <f>SUMIFS('Journal Entries'!$L:$L,'Journal Entries'!$K:$K,$C12,'Journal Entries'!$C:$C,"&lt;="&amp;AT$8,'Journal Entries'!$C:$C,"&gt;"&amp;AS$8)</f>
        <v>0</v>
      </c>
      <c r="AU12" s="43">
        <f>SUMIFS('Journal Entries'!$L:$L,'Journal Entries'!$K:$K,$C12,'Journal Entries'!$C:$C,"&lt;="&amp;AU$8,'Journal Entries'!$C:$C,"&gt;"&amp;AT$8)</f>
        <v>0</v>
      </c>
      <c r="AV12" s="43">
        <f>SUMIFS('Journal Entries'!$L:$L,'Journal Entries'!$K:$K,$C12,'Journal Entries'!$C:$C,"&lt;="&amp;AV$8,'Journal Entries'!$C:$C,"&gt;"&amp;AU$8)</f>
        <v>0</v>
      </c>
      <c r="AW12" s="43">
        <f>SUMIFS('Journal Entries'!$L:$L,'Journal Entries'!$K:$K,$C12,'Journal Entries'!$C:$C,"&lt;="&amp;AW$8,'Journal Entries'!$C:$C,"&gt;"&amp;AV$8)</f>
        <v>0</v>
      </c>
      <c r="AX12" s="43">
        <f>SUMIFS('Journal Entries'!$L:$L,'Journal Entries'!$K:$K,$C12,'Journal Entries'!$C:$C,"&lt;="&amp;AX$8,'Journal Entries'!$C:$C,"&gt;"&amp;AW$8)</f>
        <v>0</v>
      </c>
      <c r="AY12" s="43">
        <f>SUMIFS('Journal Entries'!$L:$L,'Journal Entries'!$K:$K,$C12,'Journal Entries'!$C:$C,"&lt;="&amp;AY$8,'Journal Entries'!$C:$C,"&gt;"&amp;AX$8)</f>
        <v>0</v>
      </c>
      <c r="AZ12" s="43">
        <f>SUMIFS('Journal Entries'!$L:$L,'Journal Entries'!$K:$K,$C12,'Journal Entries'!$C:$C,"&lt;="&amp;AZ$8,'Journal Entries'!$C:$C,"&gt;"&amp;AY$8)</f>
        <v>0</v>
      </c>
      <c r="BA12" s="43">
        <f>SUMIFS('Journal Entries'!$L:$L,'Journal Entries'!$K:$K,$C12,'Journal Entries'!$C:$C,"&lt;="&amp;BA$8,'Journal Entries'!$C:$C,"&gt;"&amp;AZ$8)</f>
        <v>0</v>
      </c>
      <c r="BB12" s="43">
        <f>SUMIFS('Journal Entries'!$L:$L,'Journal Entries'!$K:$K,$C12,'Journal Entries'!$C:$C,"&lt;="&amp;BB$8,'Journal Entries'!$C:$C,"&gt;"&amp;BA$8)</f>
        <v>0</v>
      </c>
      <c r="BC12" s="43">
        <f>SUMIFS('Journal Entries'!$L:$L,'Journal Entries'!$K:$K,$C12,'Journal Entries'!$C:$C,"&lt;="&amp;BC$8,'Journal Entries'!$C:$C,"&gt;"&amp;BB$8)</f>
        <v>0</v>
      </c>
      <c r="BD12" s="43">
        <f>SUMIFS('Journal Entries'!$L:$L,'Journal Entries'!$K:$K,$C12,'Journal Entries'!$C:$C,"&lt;="&amp;BD$8,'Journal Entries'!$C:$C,"&gt;"&amp;BC$8)</f>
        <v>0</v>
      </c>
      <c r="BE12" s="43">
        <f>SUMIFS('Journal Entries'!$L:$L,'Journal Entries'!$K:$K,$C12,'Journal Entries'!$C:$C,"&lt;="&amp;BE$8,'Journal Entries'!$C:$C,"&gt;"&amp;BD$8)</f>
        <v>0</v>
      </c>
      <c r="BF12" s="43">
        <f>SUMIFS('Journal Entries'!$L:$L,'Journal Entries'!$K:$K,$C12,'Journal Entries'!$C:$C,"&lt;="&amp;BF$8,'Journal Entries'!$C:$C,"&gt;"&amp;BE$8)</f>
        <v>0</v>
      </c>
      <c r="BG12" s="43">
        <f>SUMIFS('Journal Entries'!$L:$L,'Journal Entries'!$K:$K,$C12,'Journal Entries'!$C:$C,"&lt;="&amp;BG$8,'Journal Entries'!$C:$C,"&gt;"&amp;BF$8)</f>
        <v>0</v>
      </c>
      <c r="BH12" s="43">
        <f>SUMIFS('Journal Entries'!$L:$L,'Journal Entries'!$K:$K,$C12,'Journal Entries'!$C:$C,"&lt;="&amp;BH$8,'Journal Entries'!$C:$C,"&gt;"&amp;BG$8)</f>
        <v>0</v>
      </c>
      <c r="BI12" s="43">
        <f>SUMIFS('Journal Entries'!$L:$L,'Journal Entries'!$K:$K,$C12,'Journal Entries'!$C:$C,"&lt;="&amp;BI$8,'Journal Entries'!$C:$C,"&gt;"&amp;BH$8)</f>
        <v>0</v>
      </c>
      <c r="BJ12" s="43">
        <f>SUMIFS('Journal Entries'!$L:$L,'Journal Entries'!$K:$K,$C12,'Journal Entries'!$C:$C,"&lt;="&amp;BJ$8,'Journal Entries'!$C:$C,"&gt;"&amp;BI$8)</f>
        <v>0</v>
      </c>
      <c r="BK12" s="43">
        <f>SUMIFS('Journal Entries'!$L:$L,'Journal Entries'!$K:$K,$C12,'Journal Entries'!$C:$C,"&lt;="&amp;BK$8,'Journal Entries'!$C:$C,"&gt;"&amp;BJ$8)</f>
        <v>0</v>
      </c>
      <c r="BL12" s="43">
        <f>SUMIFS('Journal Entries'!$L:$L,'Journal Entries'!$K:$K,$C12,'Journal Entries'!$C:$C,"&lt;="&amp;BL$8,'Journal Entries'!$C:$C,"&gt;"&amp;BK$8)</f>
        <v>0</v>
      </c>
    </row>
    <row r="13" spans="1:69" x14ac:dyDescent="0.25">
      <c r="B13" s="10">
        <v>1030</v>
      </c>
      <c r="C13" s="10" t="str">
        <f>VLOOKUP(B13,'Chart of Accounts'!$B$3:$C$95,2,0)</f>
        <v>Dividends receivable</v>
      </c>
      <c r="D13" s="525">
        <f t="shared" si="2"/>
        <v>0</v>
      </c>
      <c r="E13" s="43">
        <f>SUMIFS('Journal Entries'!$L:$L,'Journal Entries'!$K:$K,$C13,'Journal Entries'!$C:$C,"&lt;="&amp;E$8,'Journal Entries'!$C:$C,"&gt;"&amp;D$8)</f>
        <v>0</v>
      </c>
      <c r="F13" s="43">
        <f>SUMIFS('Journal Entries'!$L:$L,'Journal Entries'!$K:$K,$C13,'Journal Entries'!$C:$C,"&lt;="&amp;F$8,'Journal Entries'!$C:$C,"&gt;"&amp;E$8)</f>
        <v>0</v>
      </c>
      <c r="G13" s="43">
        <f>SUMIFS('Journal Entries'!$L:$L,'Journal Entries'!$K:$K,$C13,'Journal Entries'!$C:$C,"&lt;="&amp;G$8,'Journal Entries'!$C:$C,"&gt;"&amp;F$8)</f>
        <v>0</v>
      </c>
      <c r="H13" s="43">
        <f>SUMIFS('Journal Entries'!$L:$L,'Journal Entries'!$K:$K,$C13,'Journal Entries'!$C:$C,"&lt;="&amp;H$8,'Journal Entries'!$C:$C,"&gt;"&amp;G$8)</f>
        <v>0</v>
      </c>
      <c r="I13" s="43">
        <f>SUMIFS('Journal Entries'!$L:$L,'Journal Entries'!$K:$K,$C13,'Journal Entries'!$C:$C,"&lt;="&amp;I$8,'Journal Entries'!$C:$C,"&gt;"&amp;H$8)</f>
        <v>0</v>
      </c>
      <c r="J13" s="43">
        <f>SUMIFS('Journal Entries'!$L:$L,'Journal Entries'!$K:$K,$C13,'Journal Entries'!$C:$C,"&lt;="&amp;J$8,'Journal Entries'!$C:$C,"&gt;"&amp;I$8)</f>
        <v>0</v>
      </c>
      <c r="K13" s="43">
        <f>SUMIFS('Journal Entries'!$L:$L,'Journal Entries'!$K:$K,$C13,'Journal Entries'!$C:$C,"&lt;="&amp;K$8,'Journal Entries'!$C:$C,"&gt;"&amp;J$8)</f>
        <v>0</v>
      </c>
      <c r="L13" s="43">
        <f>SUMIFS('Journal Entries'!$L:$L,'Journal Entries'!$K:$K,$C13,'Journal Entries'!$C:$C,"&lt;="&amp;L$8,'Journal Entries'!$C:$C,"&gt;"&amp;K$8)</f>
        <v>0</v>
      </c>
      <c r="M13" s="43">
        <f>SUMIFS('Journal Entries'!$L:$L,'Journal Entries'!$K:$K,$C13,'Journal Entries'!$C:$C,"&lt;="&amp;M$8,'Journal Entries'!$C:$C,"&gt;"&amp;L$8)</f>
        <v>0</v>
      </c>
      <c r="N13" s="43">
        <f>SUMIFS('Journal Entries'!$L:$L,'Journal Entries'!$K:$K,$C13,'Journal Entries'!$C:$C,"&lt;="&amp;N$8,'Journal Entries'!$C:$C,"&gt;"&amp;M$8)</f>
        <v>0</v>
      </c>
      <c r="O13" s="43">
        <f>SUMIFS('Journal Entries'!$L:$L,'Journal Entries'!$K:$K,$C13,'Journal Entries'!$C:$C,"&lt;="&amp;O$8,'Journal Entries'!$C:$C,"&gt;"&amp;N$8)</f>
        <v>0</v>
      </c>
      <c r="P13" s="43">
        <f>SUMIFS('Journal Entries'!$L:$L,'Journal Entries'!$K:$K,$C13,'Journal Entries'!$C:$C,"&lt;="&amp;P$8,'Journal Entries'!$C:$C,"&gt;"&amp;O$8)</f>
        <v>0</v>
      </c>
      <c r="Q13" s="43">
        <f>SUMIFS('Journal Entries'!$L:$L,'Journal Entries'!$K:$K,$C13,'Journal Entries'!$C:$C,"&lt;="&amp;Q$8,'Journal Entries'!$C:$C,"&gt;"&amp;P$8)</f>
        <v>0</v>
      </c>
      <c r="R13" s="43">
        <f>SUMIFS('Journal Entries'!$L:$L,'Journal Entries'!$K:$K,$C13,'Journal Entries'!$C:$C,"&lt;="&amp;R$8,'Journal Entries'!$C:$C,"&gt;"&amp;Q$8)</f>
        <v>0</v>
      </c>
      <c r="S13" s="43">
        <f>SUMIFS('Journal Entries'!$L:$L,'Journal Entries'!$K:$K,$C13,'Journal Entries'!$C:$C,"&lt;="&amp;S$8,'Journal Entries'!$C:$C,"&gt;"&amp;R$8)</f>
        <v>0</v>
      </c>
      <c r="T13" s="43">
        <f>SUMIFS('Journal Entries'!$L:$L,'Journal Entries'!$K:$K,$C13,'Journal Entries'!$C:$C,"&lt;="&amp;T$8,'Journal Entries'!$C:$C,"&gt;"&amp;S$8)</f>
        <v>0</v>
      </c>
      <c r="U13" s="43">
        <f>SUMIFS('Journal Entries'!$L:$L,'Journal Entries'!$K:$K,$C13,'Journal Entries'!$C:$C,"&lt;="&amp;U$8,'Journal Entries'!$C:$C,"&gt;"&amp;T$8)</f>
        <v>0</v>
      </c>
      <c r="V13" s="43">
        <f>SUMIFS('Journal Entries'!$L:$L,'Journal Entries'!$K:$K,$C13,'Journal Entries'!$C:$C,"&lt;="&amp;V$8,'Journal Entries'!$C:$C,"&gt;"&amp;U$8)</f>
        <v>0</v>
      </c>
      <c r="W13" s="43">
        <f>SUMIFS('Journal Entries'!$L:$L,'Journal Entries'!$K:$K,$C13,'Journal Entries'!$C:$C,"&lt;="&amp;W$8,'Journal Entries'!$C:$C,"&gt;"&amp;V$8)</f>
        <v>0</v>
      </c>
      <c r="X13" s="43">
        <f>SUMIFS('Journal Entries'!$L:$L,'Journal Entries'!$K:$K,$C13,'Journal Entries'!$C:$C,"&lt;="&amp;X$8,'Journal Entries'!$C:$C,"&gt;"&amp;W$8)</f>
        <v>0</v>
      </c>
      <c r="Y13" s="43">
        <f>SUMIFS('Journal Entries'!$L:$L,'Journal Entries'!$K:$K,$C13,'Journal Entries'!$C:$C,"&lt;="&amp;Y$8,'Journal Entries'!$C:$C,"&gt;"&amp;X$8)</f>
        <v>0</v>
      </c>
      <c r="Z13" s="43">
        <f>SUMIFS('Journal Entries'!$L:$L,'Journal Entries'!$K:$K,$C13,'Journal Entries'!$C:$C,"&lt;="&amp;Z$8,'Journal Entries'!$C:$C,"&gt;"&amp;Y$8)</f>
        <v>0</v>
      </c>
      <c r="AA13" s="43">
        <f>SUMIFS('Journal Entries'!$L:$L,'Journal Entries'!$K:$K,$C13,'Journal Entries'!$C:$C,"&lt;="&amp;AA$8,'Journal Entries'!$C:$C,"&gt;"&amp;Z$8)</f>
        <v>0</v>
      </c>
      <c r="AB13" s="43">
        <f>SUMIFS('Journal Entries'!$L:$L,'Journal Entries'!$K:$K,$C13,'Journal Entries'!$C:$C,"&lt;="&amp;AB$8,'Journal Entries'!$C:$C,"&gt;"&amp;AA$8)</f>
        <v>0</v>
      </c>
      <c r="AC13" s="43">
        <f>SUMIFS('Journal Entries'!$L:$L,'Journal Entries'!$K:$K,$C13,'Journal Entries'!$C:$C,"&lt;="&amp;AC$8,'Journal Entries'!$C:$C,"&gt;"&amp;AB$8)</f>
        <v>0</v>
      </c>
      <c r="AD13" s="43">
        <f>SUMIFS('Journal Entries'!$L:$L,'Journal Entries'!$K:$K,$C13,'Journal Entries'!$C:$C,"&lt;="&amp;AD$8,'Journal Entries'!$C:$C,"&gt;"&amp;AC$8)</f>
        <v>0</v>
      </c>
      <c r="AE13" s="43">
        <f>SUMIFS('Journal Entries'!$L:$L,'Journal Entries'!$K:$K,$C13,'Journal Entries'!$C:$C,"&lt;="&amp;AE$8,'Journal Entries'!$C:$C,"&gt;"&amp;AD$8)</f>
        <v>0</v>
      </c>
      <c r="AF13" s="43">
        <f>SUMIFS('Journal Entries'!$L:$L,'Journal Entries'!$K:$K,$C13,'Journal Entries'!$C:$C,"&lt;="&amp;AF$8,'Journal Entries'!$C:$C,"&gt;"&amp;AE$8)</f>
        <v>0</v>
      </c>
      <c r="AG13" s="43">
        <f>SUMIFS('Journal Entries'!$L:$L,'Journal Entries'!$K:$K,$C13,'Journal Entries'!$C:$C,"&lt;="&amp;AG$8,'Journal Entries'!$C:$C,"&gt;"&amp;AF$8)</f>
        <v>0</v>
      </c>
      <c r="AH13" s="43">
        <f>SUMIFS('Journal Entries'!$L:$L,'Journal Entries'!$K:$K,$C13,'Journal Entries'!$C:$C,"&lt;="&amp;AH$8,'Journal Entries'!$C:$C,"&gt;"&amp;AG$8)</f>
        <v>0</v>
      </c>
      <c r="AI13" s="43">
        <f>SUMIFS('Journal Entries'!$L:$L,'Journal Entries'!$K:$K,$C13,'Journal Entries'!$C:$C,"&lt;="&amp;AI$8,'Journal Entries'!$C:$C,"&gt;"&amp;AH$8)</f>
        <v>0</v>
      </c>
      <c r="AJ13" s="43">
        <f>SUMIFS('Journal Entries'!$L:$L,'Journal Entries'!$K:$K,$C13,'Journal Entries'!$C:$C,"&lt;="&amp;AJ$8,'Journal Entries'!$C:$C,"&gt;"&amp;AI$8)</f>
        <v>0</v>
      </c>
      <c r="AK13" s="43">
        <f>SUMIFS('Journal Entries'!$L:$L,'Journal Entries'!$K:$K,$C13,'Journal Entries'!$C:$C,"&lt;="&amp;AK$8,'Journal Entries'!$C:$C,"&gt;"&amp;AJ$8)</f>
        <v>0</v>
      </c>
      <c r="AL13" s="43">
        <f>SUMIFS('Journal Entries'!$L:$L,'Journal Entries'!$K:$K,$C13,'Journal Entries'!$C:$C,"&lt;="&amp;AL$8,'Journal Entries'!$C:$C,"&gt;"&amp;AK$8)</f>
        <v>0</v>
      </c>
      <c r="AM13" s="43">
        <f>SUMIFS('Journal Entries'!$L:$L,'Journal Entries'!$K:$K,$C13,'Journal Entries'!$C:$C,"&lt;="&amp;AM$8,'Journal Entries'!$C:$C,"&gt;"&amp;AL$8)</f>
        <v>0</v>
      </c>
      <c r="AN13" s="43">
        <f>SUMIFS('Journal Entries'!$L:$L,'Journal Entries'!$K:$K,$C13,'Journal Entries'!$C:$C,"&lt;="&amp;AN$8,'Journal Entries'!$C:$C,"&gt;"&amp;AM$8)</f>
        <v>0</v>
      </c>
      <c r="AO13" s="43">
        <f>SUMIFS('Journal Entries'!$L:$L,'Journal Entries'!$K:$K,$C13,'Journal Entries'!$C:$C,"&lt;="&amp;AO$8,'Journal Entries'!$C:$C,"&gt;"&amp;AN$8)</f>
        <v>0</v>
      </c>
      <c r="AP13" s="43">
        <f>SUMIFS('Journal Entries'!$L:$L,'Journal Entries'!$K:$K,$C13,'Journal Entries'!$C:$C,"&lt;="&amp;AP$8,'Journal Entries'!$C:$C,"&gt;"&amp;AO$8)</f>
        <v>0</v>
      </c>
      <c r="AQ13" s="43">
        <f>SUMIFS('Journal Entries'!$L:$L,'Journal Entries'!$K:$K,$C13,'Journal Entries'!$C:$C,"&lt;="&amp;AQ$8,'Journal Entries'!$C:$C,"&gt;"&amp;AP$8)</f>
        <v>0</v>
      </c>
      <c r="AR13" s="43">
        <f>SUMIFS('Journal Entries'!$L:$L,'Journal Entries'!$K:$K,$C13,'Journal Entries'!$C:$C,"&lt;="&amp;AR$8,'Journal Entries'!$C:$C,"&gt;"&amp;AQ$8)</f>
        <v>0</v>
      </c>
      <c r="AS13" s="43">
        <f>SUMIFS('Journal Entries'!$L:$L,'Journal Entries'!$K:$K,$C13,'Journal Entries'!$C:$C,"&lt;="&amp;AS$8,'Journal Entries'!$C:$C,"&gt;"&amp;AR$8)</f>
        <v>0</v>
      </c>
      <c r="AT13" s="43">
        <f>SUMIFS('Journal Entries'!$L:$L,'Journal Entries'!$K:$K,$C13,'Journal Entries'!$C:$C,"&lt;="&amp;AT$8,'Journal Entries'!$C:$C,"&gt;"&amp;AS$8)</f>
        <v>0</v>
      </c>
      <c r="AU13" s="43">
        <f>SUMIFS('Journal Entries'!$L:$L,'Journal Entries'!$K:$K,$C13,'Journal Entries'!$C:$C,"&lt;="&amp;AU$8,'Journal Entries'!$C:$C,"&gt;"&amp;AT$8)</f>
        <v>0</v>
      </c>
      <c r="AV13" s="43">
        <f>SUMIFS('Journal Entries'!$L:$L,'Journal Entries'!$K:$K,$C13,'Journal Entries'!$C:$C,"&lt;="&amp;AV$8,'Journal Entries'!$C:$C,"&gt;"&amp;AU$8)</f>
        <v>0</v>
      </c>
      <c r="AW13" s="43">
        <f>SUMIFS('Journal Entries'!$L:$L,'Journal Entries'!$K:$K,$C13,'Journal Entries'!$C:$C,"&lt;="&amp;AW$8,'Journal Entries'!$C:$C,"&gt;"&amp;AV$8)</f>
        <v>0</v>
      </c>
      <c r="AX13" s="43">
        <f>SUMIFS('Journal Entries'!$L:$L,'Journal Entries'!$K:$K,$C13,'Journal Entries'!$C:$C,"&lt;="&amp;AX$8,'Journal Entries'!$C:$C,"&gt;"&amp;AW$8)</f>
        <v>0</v>
      </c>
      <c r="AY13" s="43">
        <f>SUMIFS('Journal Entries'!$L:$L,'Journal Entries'!$K:$K,$C13,'Journal Entries'!$C:$C,"&lt;="&amp;AY$8,'Journal Entries'!$C:$C,"&gt;"&amp;AX$8)</f>
        <v>0</v>
      </c>
      <c r="AZ13" s="43">
        <f>SUMIFS('Journal Entries'!$L:$L,'Journal Entries'!$K:$K,$C13,'Journal Entries'!$C:$C,"&lt;="&amp;AZ$8,'Journal Entries'!$C:$C,"&gt;"&amp;AY$8)</f>
        <v>0</v>
      </c>
      <c r="BA13" s="43">
        <f>SUMIFS('Journal Entries'!$L:$L,'Journal Entries'!$K:$K,$C13,'Journal Entries'!$C:$C,"&lt;="&amp;BA$8,'Journal Entries'!$C:$C,"&gt;"&amp;AZ$8)</f>
        <v>0</v>
      </c>
      <c r="BB13" s="43">
        <f>SUMIFS('Journal Entries'!$L:$L,'Journal Entries'!$K:$K,$C13,'Journal Entries'!$C:$C,"&lt;="&amp;BB$8,'Journal Entries'!$C:$C,"&gt;"&amp;BA$8)</f>
        <v>0</v>
      </c>
      <c r="BC13" s="43">
        <f>SUMIFS('Journal Entries'!$L:$L,'Journal Entries'!$K:$K,$C13,'Journal Entries'!$C:$C,"&lt;="&amp;BC$8,'Journal Entries'!$C:$C,"&gt;"&amp;BB$8)</f>
        <v>0</v>
      </c>
      <c r="BD13" s="43">
        <f>SUMIFS('Journal Entries'!$L:$L,'Journal Entries'!$K:$K,$C13,'Journal Entries'!$C:$C,"&lt;="&amp;BD$8,'Journal Entries'!$C:$C,"&gt;"&amp;BC$8)</f>
        <v>0</v>
      </c>
      <c r="BE13" s="43">
        <f>SUMIFS('Journal Entries'!$L:$L,'Journal Entries'!$K:$K,$C13,'Journal Entries'!$C:$C,"&lt;="&amp;BE$8,'Journal Entries'!$C:$C,"&gt;"&amp;BD$8)</f>
        <v>0</v>
      </c>
      <c r="BF13" s="43">
        <f>SUMIFS('Journal Entries'!$L:$L,'Journal Entries'!$K:$K,$C13,'Journal Entries'!$C:$C,"&lt;="&amp;BF$8,'Journal Entries'!$C:$C,"&gt;"&amp;BE$8)</f>
        <v>0</v>
      </c>
      <c r="BG13" s="43">
        <f>SUMIFS('Journal Entries'!$L:$L,'Journal Entries'!$K:$K,$C13,'Journal Entries'!$C:$C,"&lt;="&amp;BG$8,'Journal Entries'!$C:$C,"&gt;"&amp;BF$8)</f>
        <v>0</v>
      </c>
      <c r="BH13" s="43">
        <f>SUMIFS('Journal Entries'!$L:$L,'Journal Entries'!$K:$K,$C13,'Journal Entries'!$C:$C,"&lt;="&amp;BH$8,'Journal Entries'!$C:$C,"&gt;"&amp;BG$8)</f>
        <v>0</v>
      </c>
      <c r="BI13" s="43">
        <f>SUMIFS('Journal Entries'!$L:$L,'Journal Entries'!$K:$K,$C13,'Journal Entries'!$C:$C,"&lt;="&amp;BI$8,'Journal Entries'!$C:$C,"&gt;"&amp;BH$8)</f>
        <v>0</v>
      </c>
      <c r="BJ13" s="43">
        <f>SUMIFS('Journal Entries'!$L:$L,'Journal Entries'!$K:$K,$C13,'Journal Entries'!$C:$C,"&lt;="&amp;BJ$8,'Journal Entries'!$C:$C,"&gt;"&amp;BI$8)</f>
        <v>0</v>
      </c>
      <c r="BK13" s="43">
        <f>SUMIFS('Journal Entries'!$L:$L,'Journal Entries'!$K:$K,$C13,'Journal Entries'!$C:$C,"&lt;="&amp;BK$8,'Journal Entries'!$C:$C,"&gt;"&amp;BJ$8)</f>
        <v>0</v>
      </c>
      <c r="BL13" s="43">
        <f>SUMIFS('Journal Entries'!$L:$L,'Journal Entries'!$K:$K,$C13,'Journal Entries'!$C:$C,"&lt;="&amp;BL$8,'Journal Entries'!$C:$C,"&gt;"&amp;BK$8)</f>
        <v>0</v>
      </c>
    </row>
    <row r="14" spans="1:69" x14ac:dyDescent="0.25">
      <c r="B14" s="10">
        <v>1040</v>
      </c>
      <c r="C14" s="10" t="str">
        <f>VLOOKUP(B14,'Chart of Accounts'!$B$3:$C$95,2,0)</f>
        <v>Due from related parties</v>
      </c>
      <c r="D14" s="525">
        <f t="shared" si="2"/>
        <v>0</v>
      </c>
      <c r="E14" s="43">
        <f>SUMIFS('Journal Entries'!$L:$L,'Journal Entries'!$K:$K,$C14,'Journal Entries'!$C:$C,"&lt;="&amp;E$8,'Journal Entries'!$C:$C,"&gt;"&amp;D$8)</f>
        <v>0</v>
      </c>
      <c r="F14" s="43">
        <f>SUMIFS('Journal Entries'!$L:$L,'Journal Entries'!$K:$K,$C14,'Journal Entries'!$C:$C,"&lt;="&amp;F$8,'Journal Entries'!$C:$C,"&gt;"&amp;E$8)</f>
        <v>0</v>
      </c>
      <c r="G14" s="43">
        <f>SUMIFS('Journal Entries'!$L:$L,'Journal Entries'!$K:$K,$C14,'Journal Entries'!$C:$C,"&lt;="&amp;G$8,'Journal Entries'!$C:$C,"&gt;"&amp;F$8)</f>
        <v>0</v>
      </c>
      <c r="H14" s="43">
        <f>SUMIFS('Journal Entries'!$L:$L,'Journal Entries'!$K:$K,$C14,'Journal Entries'!$C:$C,"&lt;="&amp;H$8,'Journal Entries'!$C:$C,"&gt;"&amp;G$8)</f>
        <v>0</v>
      </c>
      <c r="I14" s="43">
        <f>SUMIFS('Journal Entries'!$L:$L,'Journal Entries'!$K:$K,$C14,'Journal Entries'!$C:$C,"&lt;="&amp;I$8,'Journal Entries'!$C:$C,"&gt;"&amp;H$8)</f>
        <v>0</v>
      </c>
      <c r="J14" s="43">
        <f>SUMIFS('Journal Entries'!$L:$L,'Journal Entries'!$K:$K,$C14,'Journal Entries'!$C:$C,"&lt;="&amp;J$8,'Journal Entries'!$C:$C,"&gt;"&amp;I$8)</f>
        <v>0</v>
      </c>
      <c r="K14" s="43">
        <f>SUMIFS('Journal Entries'!$L:$L,'Journal Entries'!$K:$K,$C14,'Journal Entries'!$C:$C,"&lt;="&amp;K$8,'Journal Entries'!$C:$C,"&gt;"&amp;J$8)</f>
        <v>0</v>
      </c>
      <c r="L14" s="43">
        <f>SUMIFS('Journal Entries'!$L:$L,'Journal Entries'!$K:$K,$C14,'Journal Entries'!$C:$C,"&lt;="&amp;L$8,'Journal Entries'!$C:$C,"&gt;"&amp;K$8)</f>
        <v>0</v>
      </c>
      <c r="M14" s="43">
        <f>SUMIFS('Journal Entries'!$L:$L,'Journal Entries'!$K:$K,$C14,'Journal Entries'!$C:$C,"&lt;="&amp;M$8,'Journal Entries'!$C:$C,"&gt;"&amp;L$8)</f>
        <v>0</v>
      </c>
      <c r="N14" s="43">
        <f>SUMIFS('Journal Entries'!$L:$L,'Journal Entries'!$K:$K,$C14,'Journal Entries'!$C:$C,"&lt;="&amp;N$8,'Journal Entries'!$C:$C,"&gt;"&amp;M$8)</f>
        <v>0</v>
      </c>
      <c r="O14" s="43">
        <f>SUMIFS('Journal Entries'!$L:$L,'Journal Entries'!$K:$K,$C14,'Journal Entries'!$C:$C,"&lt;="&amp;O$8,'Journal Entries'!$C:$C,"&gt;"&amp;N$8)</f>
        <v>0</v>
      </c>
      <c r="P14" s="43">
        <f>SUMIFS('Journal Entries'!$L:$L,'Journal Entries'!$K:$K,$C14,'Journal Entries'!$C:$C,"&lt;="&amp;P$8,'Journal Entries'!$C:$C,"&gt;"&amp;O$8)</f>
        <v>0</v>
      </c>
      <c r="Q14" s="43">
        <f>SUMIFS('Journal Entries'!$L:$L,'Journal Entries'!$K:$K,$C14,'Journal Entries'!$C:$C,"&lt;="&amp;Q$8,'Journal Entries'!$C:$C,"&gt;"&amp;P$8)</f>
        <v>0</v>
      </c>
      <c r="R14" s="43">
        <f>SUMIFS('Journal Entries'!$L:$L,'Journal Entries'!$K:$K,$C14,'Journal Entries'!$C:$C,"&lt;="&amp;R$8,'Journal Entries'!$C:$C,"&gt;"&amp;Q$8)</f>
        <v>0</v>
      </c>
      <c r="S14" s="43">
        <f>SUMIFS('Journal Entries'!$L:$L,'Journal Entries'!$K:$K,$C14,'Journal Entries'!$C:$C,"&lt;="&amp;S$8,'Journal Entries'!$C:$C,"&gt;"&amp;R$8)</f>
        <v>0</v>
      </c>
      <c r="T14" s="43">
        <f>SUMIFS('Journal Entries'!$L:$L,'Journal Entries'!$K:$K,$C14,'Journal Entries'!$C:$C,"&lt;="&amp;T$8,'Journal Entries'!$C:$C,"&gt;"&amp;S$8)</f>
        <v>0</v>
      </c>
      <c r="U14" s="43">
        <f>SUMIFS('Journal Entries'!$L:$L,'Journal Entries'!$K:$K,$C14,'Journal Entries'!$C:$C,"&lt;="&amp;U$8,'Journal Entries'!$C:$C,"&gt;"&amp;T$8)</f>
        <v>0</v>
      </c>
      <c r="V14" s="43">
        <f>SUMIFS('Journal Entries'!$L:$L,'Journal Entries'!$K:$K,$C14,'Journal Entries'!$C:$C,"&lt;="&amp;V$8,'Journal Entries'!$C:$C,"&gt;"&amp;U$8)</f>
        <v>0</v>
      </c>
      <c r="W14" s="43">
        <f>SUMIFS('Journal Entries'!$L:$L,'Journal Entries'!$K:$K,$C14,'Journal Entries'!$C:$C,"&lt;="&amp;W$8,'Journal Entries'!$C:$C,"&gt;"&amp;V$8)</f>
        <v>0</v>
      </c>
      <c r="X14" s="43">
        <f>SUMIFS('Journal Entries'!$L:$L,'Journal Entries'!$K:$K,$C14,'Journal Entries'!$C:$C,"&lt;="&amp;X$8,'Journal Entries'!$C:$C,"&gt;"&amp;W$8)</f>
        <v>0</v>
      </c>
      <c r="Y14" s="43">
        <f>SUMIFS('Journal Entries'!$L:$L,'Journal Entries'!$K:$K,$C14,'Journal Entries'!$C:$C,"&lt;="&amp;Y$8,'Journal Entries'!$C:$C,"&gt;"&amp;X$8)</f>
        <v>0</v>
      </c>
      <c r="Z14" s="43">
        <f>SUMIFS('Journal Entries'!$L:$L,'Journal Entries'!$K:$K,$C14,'Journal Entries'!$C:$C,"&lt;="&amp;Z$8,'Journal Entries'!$C:$C,"&gt;"&amp;Y$8)</f>
        <v>0</v>
      </c>
      <c r="AA14" s="43">
        <f>SUMIFS('Journal Entries'!$L:$L,'Journal Entries'!$K:$K,$C14,'Journal Entries'!$C:$C,"&lt;="&amp;AA$8,'Journal Entries'!$C:$C,"&gt;"&amp;Z$8)</f>
        <v>0</v>
      </c>
      <c r="AB14" s="43">
        <f>SUMIFS('Journal Entries'!$L:$L,'Journal Entries'!$K:$K,$C14,'Journal Entries'!$C:$C,"&lt;="&amp;AB$8,'Journal Entries'!$C:$C,"&gt;"&amp;AA$8)</f>
        <v>0</v>
      </c>
      <c r="AC14" s="43">
        <f>SUMIFS('Journal Entries'!$L:$L,'Journal Entries'!$K:$K,$C14,'Journal Entries'!$C:$C,"&lt;="&amp;AC$8,'Journal Entries'!$C:$C,"&gt;"&amp;AB$8)</f>
        <v>0</v>
      </c>
      <c r="AD14" s="43">
        <f>SUMIFS('Journal Entries'!$L:$L,'Journal Entries'!$K:$K,$C14,'Journal Entries'!$C:$C,"&lt;="&amp;AD$8,'Journal Entries'!$C:$C,"&gt;"&amp;AC$8)</f>
        <v>0</v>
      </c>
      <c r="AE14" s="43">
        <f>SUMIFS('Journal Entries'!$L:$L,'Journal Entries'!$K:$K,$C14,'Journal Entries'!$C:$C,"&lt;="&amp;AE$8,'Journal Entries'!$C:$C,"&gt;"&amp;AD$8)</f>
        <v>0</v>
      </c>
      <c r="AF14" s="43">
        <f>SUMIFS('Journal Entries'!$L:$L,'Journal Entries'!$K:$K,$C14,'Journal Entries'!$C:$C,"&lt;="&amp;AF$8,'Journal Entries'!$C:$C,"&gt;"&amp;AE$8)</f>
        <v>0</v>
      </c>
      <c r="AG14" s="43">
        <f>SUMIFS('Journal Entries'!$L:$L,'Journal Entries'!$K:$K,$C14,'Journal Entries'!$C:$C,"&lt;="&amp;AG$8,'Journal Entries'!$C:$C,"&gt;"&amp;AF$8)</f>
        <v>0</v>
      </c>
      <c r="AH14" s="43">
        <f>SUMIFS('Journal Entries'!$L:$L,'Journal Entries'!$K:$K,$C14,'Journal Entries'!$C:$C,"&lt;="&amp;AH$8,'Journal Entries'!$C:$C,"&gt;"&amp;AG$8)</f>
        <v>0</v>
      </c>
      <c r="AI14" s="43">
        <f>SUMIFS('Journal Entries'!$L:$L,'Journal Entries'!$K:$K,$C14,'Journal Entries'!$C:$C,"&lt;="&amp;AI$8,'Journal Entries'!$C:$C,"&gt;"&amp;AH$8)</f>
        <v>0</v>
      </c>
      <c r="AJ14" s="43">
        <f>SUMIFS('Journal Entries'!$L:$L,'Journal Entries'!$K:$K,$C14,'Journal Entries'!$C:$C,"&lt;="&amp;AJ$8,'Journal Entries'!$C:$C,"&gt;"&amp;AI$8)</f>
        <v>0</v>
      </c>
      <c r="AK14" s="43">
        <f>SUMIFS('Journal Entries'!$L:$L,'Journal Entries'!$K:$K,$C14,'Journal Entries'!$C:$C,"&lt;="&amp;AK$8,'Journal Entries'!$C:$C,"&gt;"&amp;AJ$8)</f>
        <v>0</v>
      </c>
      <c r="AL14" s="43">
        <f>SUMIFS('Journal Entries'!$L:$L,'Journal Entries'!$K:$K,$C14,'Journal Entries'!$C:$C,"&lt;="&amp;AL$8,'Journal Entries'!$C:$C,"&gt;"&amp;AK$8)</f>
        <v>0</v>
      </c>
      <c r="AM14" s="43">
        <f>SUMIFS('Journal Entries'!$L:$L,'Journal Entries'!$K:$K,$C14,'Journal Entries'!$C:$C,"&lt;="&amp;AM$8,'Journal Entries'!$C:$C,"&gt;"&amp;AL$8)</f>
        <v>0</v>
      </c>
      <c r="AN14" s="43">
        <f>SUMIFS('Journal Entries'!$L:$L,'Journal Entries'!$K:$K,$C14,'Journal Entries'!$C:$C,"&lt;="&amp;AN$8,'Journal Entries'!$C:$C,"&gt;"&amp;AM$8)</f>
        <v>0</v>
      </c>
      <c r="AO14" s="43">
        <f>SUMIFS('Journal Entries'!$L:$L,'Journal Entries'!$K:$K,$C14,'Journal Entries'!$C:$C,"&lt;="&amp;AO$8,'Journal Entries'!$C:$C,"&gt;"&amp;AN$8)</f>
        <v>0</v>
      </c>
      <c r="AP14" s="43">
        <f>SUMIFS('Journal Entries'!$L:$L,'Journal Entries'!$K:$K,$C14,'Journal Entries'!$C:$C,"&lt;="&amp;AP$8,'Journal Entries'!$C:$C,"&gt;"&amp;AO$8)</f>
        <v>0</v>
      </c>
      <c r="AQ14" s="43">
        <f>SUMIFS('Journal Entries'!$L:$L,'Journal Entries'!$K:$K,$C14,'Journal Entries'!$C:$C,"&lt;="&amp;AQ$8,'Journal Entries'!$C:$C,"&gt;"&amp;AP$8)</f>
        <v>0</v>
      </c>
      <c r="AR14" s="43">
        <f>SUMIFS('Journal Entries'!$L:$L,'Journal Entries'!$K:$K,$C14,'Journal Entries'!$C:$C,"&lt;="&amp;AR$8,'Journal Entries'!$C:$C,"&gt;"&amp;AQ$8)</f>
        <v>0</v>
      </c>
      <c r="AS14" s="43">
        <f>SUMIFS('Journal Entries'!$L:$L,'Journal Entries'!$K:$K,$C14,'Journal Entries'!$C:$C,"&lt;="&amp;AS$8,'Journal Entries'!$C:$C,"&gt;"&amp;AR$8)</f>
        <v>0</v>
      </c>
      <c r="AT14" s="43">
        <f>SUMIFS('Journal Entries'!$L:$L,'Journal Entries'!$K:$K,$C14,'Journal Entries'!$C:$C,"&lt;="&amp;AT$8,'Journal Entries'!$C:$C,"&gt;"&amp;AS$8)</f>
        <v>0</v>
      </c>
      <c r="AU14" s="43">
        <f>SUMIFS('Journal Entries'!$L:$L,'Journal Entries'!$K:$K,$C14,'Journal Entries'!$C:$C,"&lt;="&amp;AU$8,'Journal Entries'!$C:$C,"&gt;"&amp;AT$8)</f>
        <v>0</v>
      </c>
      <c r="AV14" s="43">
        <f>SUMIFS('Journal Entries'!$L:$L,'Journal Entries'!$K:$K,$C14,'Journal Entries'!$C:$C,"&lt;="&amp;AV$8,'Journal Entries'!$C:$C,"&gt;"&amp;AU$8)</f>
        <v>0</v>
      </c>
      <c r="AW14" s="43">
        <f>SUMIFS('Journal Entries'!$L:$L,'Journal Entries'!$K:$K,$C14,'Journal Entries'!$C:$C,"&lt;="&amp;AW$8,'Journal Entries'!$C:$C,"&gt;"&amp;AV$8)</f>
        <v>0</v>
      </c>
      <c r="AX14" s="43">
        <f>SUMIFS('Journal Entries'!$L:$L,'Journal Entries'!$K:$K,$C14,'Journal Entries'!$C:$C,"&lt;="&amp;AX$8,'Journal Entries'!$C:$C,"&gt;"&amp;AW$8)</f>
        <v>0</v>
      </c>
      <c r="AY14" s="43">
        <f>SUMIFS('Journal Entries'!$L:$L,'Journal Entries'!$K:$K,$C14,'Journal Entries'!$C:$C,"&lt;="&amp;AY$8,'Journal Entries'!$C:$C,"&gt;"&amp;AX$8)</f>
        <v>0</v>
      </c>
      <c r="AZ14" s="43">
        <f>SUMIFS('Journal Entries'!$L:$L,'Journal Entries'!$K:$K,$C14,'Journal Entries'!$C:$C,"&lt;="&amp;AZ$8,'Journal Entries'!$C:$C,"&gt;"&amp;AY$8)</f>
        <v>0</v>
      </c>
      <c r="BA14" s="43">
        <f>SUMIFS('Journal Entries'!$L:$L,'Journal Entries'!$K:$K,$C14,'Journal Entries'!$C:$C,"&lt;="&amp;BA$8,'Journal Entries'!$C:$C,"&gt;"&amp;AZ$8)</f>
        <v>0</v>
      </c>
      <c r="BB14" s="43">
        <f>SUMIFS('Journal Entries'!$L:$L,'Journal Entries'!$K:$K,$C14,'Journal Entries'!$C:$C,"&lt;="&amp;BB$8,'Journal Entries'!$C:$C,"&gt;"&amp;BA$8)</f>
        <v>0</v>
      </c>
      <c r="BC14" s="43">
        <f>SUMIFS('Journal Entries'!$L:$L,'Journal Entries'!$K:$K,$C14,'Journal Entries'!$C:$C,"&lt;="&amp;BC$8,'Journal Entries'!$C:$C,"&gt;"&amp;BB$8)</f>
        <v>0</v>
      </c>
      <c r="BD14" s="43">
        <f>SUMIFS('Journal Entries'!$L:$L,'Journal Entries'!$K:$K,$C14,'Journal Entries'!$C:$C,"&lt;="&amp;BD$8,'Journal Entries'!$C:$C,"&gt;"&amp;BC$8)</f>
        <v>0</v>
      </c>
      <c r="BE14" s="43">
        <f>SUMIFS('Journal Entries'!$L:$L,'Journal Entries'!$K:$K,$C14,'Journal Entries'!$C:$C,"&lt;="&amp;BE$8,'Journal Entries'!$C:$C,"&gt;"&amp;BD$8)</f>
        <v>0</v>
      </c>
      <c r="BF14" s="43">
        <f>SUMIFS('Journal Entries'!$L:$L,'Journal Entries'!$K:$K,$C14,'Journal Entries'!$C:$C,"&lt;="&amp;BF$8,'Journal Entries'!$C:$C,"&gt;"&amp;BE$8)</f>
        <v>0</v>
      </c>
      <c r="BG14" s="43">
        <f>SUMIFS('Journal Entries'!$L:$L,'Journal Entries'!$K:$K,$C14,'Journal Entries'!$C:$C,"&lt;="&amp;BG$8,'Journal Entries'!$C:$C,"&gt;"&amp;BF$8)</f>
        <v>0</v>
      </c>
      <c r="BH14" s="43">
        <f>SUMIFS('Journal Entries'!$L:$L,'Journal Entries'!$K:$K,$C14,'Journal Entries'!$C:$C,"&lt;="&amp;BH$8,'Journal Entries'!$C:$C,"&gt;"&amp;BG$8)</f>
        <v>0</v>
      </c>
      <c r="BI14" s="43">
        <f>SUMIFS('Journal Entries'!$L:$L,'Journal Entries'!$K:$K,$C14,'Journal Entries'!$C:$C,"&lt;="&amp;BI$8,'Journal Entries'!$C:$C,"&gt;"&amp;BH$8)</f>
        <v>0</v>
      </c>
      <c r="BJ14" s="43">
        <f>SUMIFS('Journal Entries'!$L:$L,'Journal Entries'!$K:$K,$C14,'Journal Entries'!$C:$C,"&lt;="&amp;BJ$8,'Journal Entries'!$C:$C,"&gt;"&amp;BI$8)</f>
        <v>0</v>
      </c>
      <c r="BK14" s="43">
        <f>SUMIFS('Journal Entries'!$L:$L,'Journal Entries'!$K:$K,$C14,'Journal Entries'!$C:$C,"&lt;="&amp;BK$8,'Journal Entries'!$C:$C,"&gt;"&amp;BJ$8)</f>
        <v>0</v>
      </c>
      <c r="BL14" s="43">
        <f>SUMIFS('Journal Entries'!$L:$L,'Journal Entries'!$K:$K,$C14,'Journal Entries'!$C:$C,"&lt;="&amp;BL$8,'Journal Entries'!$C:$C,"&gt;"&amp;BK$8)</f>
        <v>0</v>
      </c>
    </row>
    <row r="15" spans="1:69" x14ac:dyDescent="0.25">
      <c r="B15" s="10">
        <v>1050</v>
      </c>
      <c r="C15" s="10" t="str">
        <f>VLOOKUP(B15,'Chart of Accounts'!$B$3:$C$95,2,0)</f>
        <v>Escrow proceeds receivable</v>
      </c>
      <c r="D15" s="525">
        <f t="shared" si="2"/>
        <v>0</v>
      </c>
      <c r="E15" s="43">
        <f>SUMIFS('Journal Entries'!$L:$L,'Journal Entries'!$K:$K,$C15,'Journal Entries'!$C:$C,"&lt;="&amp;E$8,'Journal Entries'!$C:$C,"&gt;"&amp;D$8)</f>
        <v>0</v>
      </c>
      <c r="F15" s="43">
        <f>SUMIFS('Journal Entries'!$L:$L,'Journal Entries'!$K:$K,$C15,'Journal Entries'!$C:$C,"&lt;="&amp;F$8,'Journal Entries'!$C:$C,"&gt;"&amp;E$8)</f>
        <v>0</v>
      </c>
      <c r="G15" s="43">
        <f>SUMIFS('Journal Entries'!$L:$L,'Journal Entries'!$K:$K,$C15,'Journal Entries'!$C:$C,"&lt;="&amp;G$8,'Journal Entries'!$C:$C,"&gt;"&amp;F$8)</f>
        <v>0</v>
      </c>
      <c r="H15" s="43">
        <f>SUMIFS('Journal Entries'!$L:$L,'Journal Entries'!$K:$K,$C15,'Journal Entries'!$C:$C,"&lt;="&amp;H$8,'Journal Entries'!$C:$C,"&gt;"&amp;G$8)</f>
        <v>0</v>
      </c>
      <c r="I15" s="43">
        <f>SUMIFS('Journal Entries'!$L:$L,'Journal Entries'!$K:$K,$C15,'Journal Entries'!$C:$C,"&lt;="&amp;I$8,'Journal Entries'!$C:$C,"&gt;"&amp;H$8)</f>
        <v>0</v>
      </c>
      <c r="J15" s="43">
        <f>SUMIFS('Journal Entries'!$L:$L,'Journal Entries'!$K:$K,$C15,'Journal Entries'!$C:$C,"&lt;="&amp;J$8,'Journal Entries'!$C:$C,"&gt;"&amp;I$8)</f>
        <v>0</v>
      </c>
      <c r="K15" s="43">
        <f>SUMIFS('Journal Entries'!$L:$L,'Journal Entries'!$K:$K,$C15,'Journal Entries'!$C:$C,"&lt;="&amp;K$8,'Journal Entries'!$C:$C,"&gt;"&amp;J$8)</f>
        <v>0</v>
      </c>
      <c r="L15" s="43">
        <f>SUMIFS('Journal Entries'!$L:$L,'Journal Entries'!$K:$K,$C15,'Journal Entries'!$C:$C,"&lt;="&amp;L$8,'Journal Entries'!$C:$C,"&gt;"&amp;K$8)</f>
        <v>0</v>
      </c>
      <c r="M15" s="43">
        <f>SUMIFS('Journal Entries'!$L:$L,'Journal Entries'!$K:$K,$C15,'Journal Entries'!$C:$C,"&lt;="&amp;M$8,'Journal Entries'!$C:$C,"&gt;"&amp;L$8)</f>
        <v>0</v>
      </c>
      <c r="N15" s="43">
        <f>SUMIFS('Journal Entries'!$L:$L,'Journal Entries'!$K:$K,$C15,'Journal Entries'!$C:$C,"&lt;="&amp;N$8,'Journal Entries'!$C:$C,"&gt;"&amp;M$8)</f>
        <v>0</v>
      </c>
      <c r="O15" s="43">
        <f>SUMIFS('Journal Entries'!$L:$L,'Journal Entries'!$K:$K,$C15,'Journal Entries'!$C:$C,"&lt;="&amp;O$8,'Journal Entries'!$C:$C,"&gt;"&amp;N$8)</f>
        <v>0</v>
      </c>
      <c r="P15" s="43">
        <f>SUMIFS('Journal Entries'!$L:$L,'Journal Entries'!$K:$K,$C15,'Journal Entries'!$C:$C,"&lt;="&amp;P$8,'Journal Entries'!$C:$C,"&gt;"&amp;O$8)</f>
        <v>0</v>
      </c>
      <c r="Q15" s="43">
        <f>SUMIFS('Journal Entries'!$L:$L,'Journal Entries'!$K:$K,$C15,'Journal Entries'!$C:$C,"&lt;="&amp;Q$8,'Journal Entries'!$C:$C,"&gt;"&amp;P$8)</f>
        <v>0</v>
      </c>
      <c r="R15" s="43">
        <f>SUMIFS('Journal Entries'!$L:$L,'Journal Entries'!$K:$K,$C15,'Journal Entries'!$C:$C,"&lt;="&amp;R$8,'Journal Entries'!$C:$C,"&gt;"&amp;Q$8)</f>
        <v>0</v>
      </c>
      <c r="S15" s="43">
        <f>SUMIFS('Journal Entries'!$L:$L,'Journal Entries'!$K:$K,$C15,'Journal Entries'!$C:$C,"&lt;="&amp;S$8,'Journal Entries'!$C:$C,"&gt;"&amp;R$8)</f>
        <v>0</v>
      </c>
      <c r="T15" s="43">
        <f>SUMIFS('Journal Entries'!$L:$L,'Journal Entries'!$K:$K,$C15,'Journal Entries'!$C:$C,"&lt;="&amp;T$8,'Journal Entries'!$C:$C,"&gt;"&amp;S$8)</f>
        <v>0</v>
      </c>
      <c r="U15" s="43">
        <f>SUMIFS('Journal Entries'!$L:$L,'Journal Entries'!$K:$K,$C15,'Journal Entries'!$C:$C,"&lt;="&amp;U$8,'Journal Entries'!$C:$C,"&gt;"&amp;T$8)</f>
        <v>0</v>
      </c>
      <c r="V15" s="43">
        <f>SUMIFS('Journal Entries'!$L:$L,'Journal Entries'!$K:$K,$C15,'Journal Entries'!$C:$C,"&lt;="&amp;V$8,'Journal Entries'!$C:$C,"&gt;"&amp;U$8)</f>
        <v>0</v>
      </c>
      <c r="W15" s="43">
        <f>SUMIFS('Journal Entries'!$L:$L,'Journal Entries'!$K:$K,$C15,'Journal Entries'!$C:$C,"&lt;="&amp;W$8,'Journal Entries'!$C:$C,"&gt;"&amp;V$8)</f>
        <v>0</v>
      </c>
      <c r="X15" s="43">
        <f>SUMIFS('Journal Entries'!$L:$L,'Journal Entries'!$K:$K,$C15,'Journal Entries'!$C:$C,"&lt;="&amp;X$8,'Journal Entries'!$C:$C,"&gt;"&amp;W$8)</f>
        <v>0</v>
      </c>
      <c r="Y15" s="43">
        <f>SUMIFS('Journal Entries'!$L:$L,'Journal Entries'!$K:$K,$C15,'Journal Entries'!$C:$C,"&lt;="&amp;Y$8,'Journal Entries'!$C:$C,"&gt;"&amp;X$8)</f>
        <v>0</v>
      </c>
      <c r="Z15" s="43">
        <f>SUMIFS('Journal Entries'!$L:$L,'Journal Entries'!$K:$K,$C15,'Journal Entries'!$C:$C,"&lt;="&amp;Z$8,'Journal Entries'!$C:$C,"&gt;"&amp;Y$8)</f>
        <v>0</v>
      </c>
      <c r="AA15" s="43">
        <f>SUMIFS('Journal Entries'!$L:$L,'Journal Entries'!$K:$K,$C15,'Journal Entries'!$C:$C,"&lt;="&amp;AA$8,'Journal Entries'!$C:$C,"&gt;"&amp;Z$8)</f>
        <v>0</v>
      </c>
      <c r="AB15" s="43">
        <f>SUMIFS('Journal Entries'!$L:$L,'Journal Entries'!$K:$K,$C15,'Journal Entries'!$C:$C,"&lt;="&amp;AB$8,'Journal Entries'!$C:$C,"&gt;"&amp;AA$8)</f>
        <v>0</v>
      </c>
      <c r="AC15" s="43">
        <f>SUMIFS('Journal Entries'!$L:$L,'Journal Entries'!$K:$K,$C15,'Journal Entries'!$C:$C,"&lt;="&amp;AC$8,'Journal Entries'!$C:$C,"&gt;"&amp;AB$8)</f>
        <v>0</v>
      </c>
      <c r="AD15" s="43">
        <f>SUMIFS('Journal Entries'!$L:$L,'Journal Entries'!$K:$K,$C15,'Journal Entries'!$C:$C,"&lt;="&amp;AD$8,'Journal Entries'!$C:$C,"&gt;"&amp;AC$8)</f>
        <v>0</v>
      </c>
      <c r="AE15" s="43">
        <f>SUMIFS('Journal Entries'!$L:$L,'Journal Entries'!$K:$K,$C15,'Journal Entries'!$C:$C,"&lt;="&amp;AE$8,'Journal Entries'!$C:$C,"&gt;"&amp;AD$8)</f>
        <v>0</v>
      </c>
      <c r="AF15" s="43">
        <f>SUMIFS('Journal Entries'!$L:$L,'Journal Entries'!$K:$K,$C15,'Journal Entries'!$C:$C,"&lt;="&amp;AF$8,'Journal Entries'!$C:$C,"&gt;"&amp;AE$8)</f>
        <v>0</v>
      </c>
      <c r="AG15" s="43">
        <f>SUMIFS('Journal Entries'!$L:$L,'Journal Entries'!$K:$K,$C15,'Journal Entries'!$C:$C,"&lt;="&amp;AG$8,'Journal Entries'!$C:$C,"&gt;"&amp;AF$8)</f>
        <v>0</v>
      </c>
      <c r="AH15" s="43">
        <f>SUMIFS('Journal Entries'!$L:$L,'Journal Entries'!$K:$K,$C15,'Journal Entries'!$C:$C,"&lt;="&amp;AH$8,'Journal Entries'!$C:$C,"&gt;"&amp;AG$8)</f>
        <v>0</v>
      </c>
      <c r="AI15" s="43">
        <f>SUMIFS('Journal Entries'!$L:$L,'Journal Entries'!$K:$K,$C15,'Journal Entries'!$C:$C,"&lt;="&amp;AI$8,'Journal Entries'!$C:$C,"&gt;"&amp;AH$8)</f>
        <v>0</v>
      </c>
      <c r="AJ15" s="43">
        <f>SUMIFS('Journal Entries'!$L:$L,'Journal Entries'!$K:$K,$C15,'Journal Entries'!$C:$C,"&lt;="&amp;AJ$8,'Journal Entries'!$C:$C,"&gt;"&amp;AI$8)</f>
        <v>0</v>
      </c>
      <c r="AK15" s="43">
        <f>SUMIFS('Journal Entries'!$L:$L,'Journal Entries'!$K:$K,$C15,'Journal Entries'!$C:$C,"&lt;="&amp;AK$8,'Journal Entries'!$C:$C,"&gt;"&amp;AJ$8)</f>
        <v>0</v>
      </c>
      <c r="AL15" s="43">
        <f>SUMIFS('Journal Entries'!$L:$L,'Journal Entries'!$K:$K,$C15,'Journal Entries'!$C:$C,"&lt;="&amp;AL$8,'Journal Entries'!$C:$C,"&gt;"&amp;AK$8)</f>
        <v>0</v>
      </c>
      <c r="AM15" s="43">
        <f>SUMIFS('Journal Entries'!$L:$L,'Journal Entries'!$K:$K,$C15,'Journal Entries'!$C:$C,"&lt;="&amp;AM$8,'Journal Entries'!$C:$C,"&gt;"&amp;AL$8)</f>
        <v>0</v>
      </c>
      <c r="AN15" s="43">
        <f>SUMIFS('Journal Entries'!$L:$L,'Journal Entries'!$K:$K,$C15,'Journal Entries'!$C:$C,"&lt;="&amp;AN$8,'Journal Entries'!$C:$C,"&gt;"&amp;AM$8)</f>
        <v>0</v>
      </c>
      <c r="AO15" s="43">
        <f>SUMIFS('Journal Entries'!$L:$L,'Journal Entries'!$K:$K,$C15,'Journal Entries'!$C:$C,"&lt;="&amp;AO$8,'Journal Entries'!$C:$C,"&gt;"&amp;AN$8)</f>
        <v>0</v>
      </c>
      <c r="AP15" s="43">
        <f>SUMIFS('Journal Entries'!$L:$L,'Journal Entries'!$K:$K,$C15,'Journal Entries'!$C:$C,"&lt;="&amp;AP$8,'Journal Entries'!$C:$C,"&gt;"&amp;AO$8)</f>
        <v>0</v>
      </c>
      <c r="AQ15" s="43">
        <f>SUMIFS('Journal Entries'!$L:$L,'Journal Entries'!$K:$K,$C15,'Journal Entries'!$C:$C,"&lt;="&amp;AQ$8,'Journal Entries'!$C:$C,"&gt;"&amp;AP$8)</f>
        <v>0</v>
      </c>
      <c r="AR15" s="43">
        <f>SUMIFS('Journal Entries'!$L:$L,'Journal Entries'!$K:$K,$C15,'Journal Entries'!$C:$C,"&lt;="&amp;AR$8,'Journal Entries'!$C:$C,"&gt;"&amp;AQ$8)</f>
        <v>0</v>
      </c>
      <c r="AS15" s="43">
        <f>SUMIFS('Journal Entries'!$L:$L,'Journal Entries'!$K:$K,$C15,'Journal Entries'!$C:$C,"&lt;="&amp;AS$8,'Journal Entries'!$C:$C,"&gt;"&amp;AR$8)</f>
        <v>0</v>
      </c>
      <c r="AT15" s="43">
        <f>SUMIFS('Journal Entries'!$L:$L,'Journal Entries'!$K:$K,$C15,'Journal Entries'!$C:$C,"&lt;="&amp;AT$8,'Journal Entries'!$C:$C,"&gt;"&amp;AS$8)</f>
        <v>0</v>
      </c>
      <c r="AU15" s="43">
        <f>SUMIFS('Journal Entries'!$L:$L,'Journal Entries'!$K:$K,$C15,'Journal Entries'!$C:$C,"&lt;="&amp;AU$8,'Journal Entries'!$C:$C,"&gt;"&amp;AT$8)</f>
        <v>0</v>
      </c>
      <c r="AV15" s="43">
        <f>SUMIFS('Journal Entries'!$L:$L,'Journal Entries'!$K:$K,$C15,'Journal Entries'!$C:$C,"&lt;="&amp;AV$8,'Journal Entries'!$C:$C,"&gt;"&amp;AU$8)</f>
        <v>0</v>
      </c>
      <c r="AW15" s="43">
        <f>SUMIFS('Journal Entries'!$L:$L,'Journal Entries'!$K:$K,$C15,'Journal Entries'!$C:$C,"&lt;="&amp;AW$8,'Journal Entries'!$C:$C,"&gt;"&amp;AV$8)</f>
        <v>0</v>
      </c>
      <c r="AX15" s="43">
        <f>SUMIFS('Journal Entries'!$L:$L,'Journal Entries'!$K:$K,$C15,'Journal Entries'!$C:$C,"&lt;="&amp;AX$8,'Journal Entries'!$C:$C,"&gt;"&amp;AW$8)</f>
        <v>0</v>
      </c>
      <c r="AY15" s="43">
        <f>SUMIFS('Journal Entries'!$L:$L,'Journal Entries'!$K:$K,$C15,'Journal Entries'!$C:$C,"&lt;="&amp;AY$8,'Journal Entries'!$C:$C,"&gt;"&amp;AX$8)</f>
        <v>0</v>
      </c>
      <c r="AZ15" s="43">
        <f>SUMIFS('Journal Entries'!$L:$L,'Journal Entries'!$K:$K,$C15,'Journal Entries'!$C:$C,"&lt;="&amp;AZ$8,'Journal Entries'!$C:$C,"&gt;"&amp;AY$8)</f>
        <v>0</v>
      </c>
      <c r="BA15" s="43">
        <f>SUMIFS('Journal Entries'!$L:$L,'Journal Entries'!$K:$K,$C15,'Journal Entries'!$C:$C,"&lt;="&amp;BA$8,'Journal Entries'!$C:$C,"&gt;"&amp;AZ$8)</f>
        <v>0</v>
      </c>
      <c r="BB15" s="43">
        <f>SUMIFS('Journal Entries'!$L:$L,'Journal Entries'!$K:$K,$C15,'Journal Entries'!$C:$C,"&lt;="&amp;BB$8,'Journal Entries'!$C:$C,"&gt;"&amp;BA$8)</f>
        <v>0</v>
      </c>
      <c r="BC15" s="43">
        <f>SUMIFS('Journal Entries'!$L:$L,'Journal Entries'!$K:$K,$C15,'Journal Entries'!$C:$C,"&lt;="&amp;BC$8,'Journal Entries'!$C:$C,"&gt;"&amp;BB$8)</f>
        <v>0</v>
      </c>
      <c r="BD15" s="43">
        <f>SUMIFS('Journal Entries'!$L:$L,'Journal Entries'!$K:$K,$C15,'Journal Entries'!$C:$C,"&lt;="&amp;BD$8,'Journal Entries'!$C:$C,"&gt;"&amp;BC$8)</f>
        <v>0</v>
      </c>
      <c r="BE15" s="43">
        <f>SUMIFS('Journal Entries'!$L:$L,'Journal Entries'!$K:$K,$C15,'Journal Entries'!$C:$C,"&lt;="&amp;BE$8,'Journal Entries'!$C:$C,"&gt;"&amp;BD$8)</f>
        <v>0</v>
      </c>
      <c r="BF15" s="43">
        <f>SUMIFS('Journal Entries'!$L:$L,'Journal Entries'!$K:$K,$C15,'Journal Entries'!$C:$C,"&lt;="&amp;BF$8,'Journal Entries'!$C:$C,"&gt;"&amp;BE$8)</f>
        <v>0</v>
      </c>
      <c r="BG15" s="43">
        <f>SUMIFS('Journal Entries'!$L:$L,'Journal Entries'!$K:$K,$C15,'Journal Entries'!$C:$C,"&lt;="&amp;BG$8,'Journal Entries'!$C:$C,"&gt;"&amp;BF$8)</f>
        <v>0</v>
      </c>
      <c r="BH15" s="43">
        <f>SUMIFS('Journal Entries'!$L:$L,'Journal Entries'!$K:$K,$C15,'Journal Entries'!$C:$C,"&lt;="&amp;BH$8,'Journal Entries'!$C:$C,"&gt;"&amp;BG$8)</f>
        <v>0</v>
      </c>
      <c r="BI15" s="43">
        <f>SUMIFS('Journal Entries'!$L:$L,'Journal Entries'!$K:$K,$C15,'Journal Entries'!$C:$C,"&lt;="&amp;BI$8,'Journal Entries'!$C:$C,"&gt;"&amp;BH$8)</f>
        <v>0</v>
      </c>
      <c r="BJ15" s="43">
        <f>SUMIFS('Journal Entries'!$L:$L,'Journal Entries'!$K:$K,$C15,'Journal Entries'!$C:$C,"&lt;="&amp;BJ$8,'Journal Entries'!$C:$C,"&gt;"&amp;BI$8)</f>
        <v>0</v>
      </c>
      <c r="BK15" s="43">
        <f>SUMIFS('Journal Entries'!$L:$L,'Journal Entries'!$K:$K,$C15,'Journal Entries'!$C:$C,"&lt;="&amp;BK$8,'Journal Entries'!$C:$C,"&gt;"&amp;BJ$8)</f>
        <v>0</v>
      </c>
      <c r="BL15" s="43">
        <f>SUMIFS('Journal Entries'!$L:$L,'Journal Entries'!$K:$K,$C15,'Journal Entries'!$C:$C,"&lt;="&amp;BL$8,'Journal Entries'!$C:$C,"&gt;"&amp;BK$8)</f>
        <v>0</v>
      </c>
    </row>
    <row r="16" spans="1:69" x14ac:dyDescent="0.25">
      <c r="B16" s="10">
        <v>1060</v>
      </c>
      <c r="C16" s="10" t="str">
        <f>VLOOKUP(B16,'Chart of Accounts'!$B$3:$C$95,2,0)</f>
        <v>Capital contributions receivable</v>
      </c>
      <c r="D16" s="525">
        <f t="shared" si="2"/>
        <v>0</v>
      </c>
      <c r="E16" s="43">
        <f>SUMIFS('Journal Entries'!$L:$L,'Journal Entries'!$K:$K,$C16,'Journal Entries'!$C:$C,"&lt;="&amp;E$8,'Journal Entries'!$C:$C,"&gt;"&amp;D$8)</f>
        <v>0</v>
      </c>
      <c r="F16" s="43">
        <f>SUMIFS('Journal Entries'!$L:$L,'Journal Entries'!$K:$K,$C16,'Journal Entries'!$C:$C,"&lt;="&amp;F$8,'Journal Entries'!$C:$C,"&gt;"&amp;E$8)</f>
        <v>0</v>
      </c>
      <c r="G16" s="43">
        <f>SUMIFS('Journal Entries'!$L:$L,'Journal Entries'!$K:$K,$C16,'Journal Entries'!$C:$C,"&lt;="&amp;G$8,'Journal Entries'!$C:$C,"&gt;"&amp;F$8)</f>
        <v>0</v>
      </c>
      <c r="H16" s="43">
        <f>SUMIFS('Journal Entries'!$L:$L,'Journal Entries'!$K:$K,$C16,'Journal Entries'!$C:$C,"&lt;="&amp;H$8,'Journal Entries'!$C:$C,"&gt;"&amp;G$8)</f>
        <v>0</v>
      </c>
      <c r="I16" s="43">
        <f>SUMIFS('Journal Entries'!$L:$L,'Journal Entries'!$K:$K,$C16,'Journal Entries'!$C:$C,"&lt;="&amp;I$8,'Journal Entries'!$C:$C,"&gt;"&amp;H$8)</f>
        <v>0</v>
      </c>
      <c r="J16" s="43">
        <f>SUMIFS('Journal Entries'!$L:$L,'Journal Entries'!$K:$K,$C16,'Journal Entries'!$C:$C,"&lt;="&amp;J$8,'Journal Entries'!$C:$C,"&gt;"&amp;I$8)</f>
        <v>0</v>
      </c>
      <c r="K16" s="43">
        <f>SUMIFS('Journal Entries'!$L:$L,'Journal Entries'!$K:$K,$C16,'Journal Entries'!$C:$C,"&lt;="&amp;K$8,'Journal Entries'!$C:$C,"&gt;"&amp;J$8)</f>
        <v>0</v>
      </c>
      <c r="L16" s="43">
        <f>SUMIFS('Journal Entries'!$L:$L,'Journal Entries'!$K:$K,$C16,'Journal Entries'!$C:$C,"&lt;="&amp;L$8,'Journal Entries'!$C:$C,"&gt;"&amp;K$8)</f>
        <v>0</v>
      </c>
      <c r="M16" s="43">
        <f>SUMIFS('Journal Entries'!$L:$L,'Journal Entries'!$K:$K,$C16,'Journal Entries'!$C:$C,"&lt;="&amp;M$8,'Journal Entries'!$C:$C,"&gt;"&amp;L$8)</f>
        <v>0</v>
      </c>
      <c r="N16" s="43">
        <f>SUMIFS('Journal Entries'!$L:$L,'Journal Entries'!$K:$K,$C16,'Journal Entries'!$C:$C,"&lt;="&amp;N$8,'Journal Entries'!$C:$C,"&gt;"&amp;M$8)</f>
        <v>0</v>
      </c>
      <c r="O16" s="43">
        <f>SUMIFS('Journal Entries'!$L:$L,'Journal Entries'!$K:$K,$C16,'Journal Entries'!$C:$C,"&lt;="&amp;O$8,'Journal Entries'!$C:$C,"&gt;"&amp;N$8)</f>
        <v>0</v>
      </c>
      <c r="P16" s="43">
        <f>SUMIFS('Journal Entries'!$L:$L,'Journal Entries'!$K:$K,$C16,'Journal Entries'!$C:$C,"&lt;="&amp;P$8,'Journal Entries'!$C:$C,"&gt;"&amp;O$8)</f>
        <v>0</v>
      </c>
      <c r="Q16" s="43">
        <f>SUMIFS('Journal Entries'!$L:$L,'Journal Entries'!$K:$K,$C16,'Journal Entries'!$C:$C,"&lt;="&amp;Q$8,'Journal Entries'!$C:$C,"&gt;"&amp;P$8)</f>
        <v>0</v>
      </c>
      <c r="R16" s="43">
        <f>SUMIFS('Journal Entries'!$L:$L,'Journal Entries'!$K:$K,$C16,'Journal Entries'!$C:$C,"&lt;="&amp;R$8,'Journal Entries'!$C:$C,"&gt;"&amp;Q$8)</f>
        <v>0</v>
      </c>
      <c r="S16" s="43">
        <f>SUMIFS('Journal Entries'!$L:$L,'Journal Entries'!$K:$K,$C16,'Journal Entries'!$C:$C,"&lt;="&amp;S$8,'Journal Entries'!$C:$C,"&gt;"&amp;R$8)</f>
        <v>0</v>
      </c>
      <c r="T16" s="43">
        <f>SUMIFS('Journal Entries'!$L:$L,'Journal Entries'!$K:$K,$C16,'Journal Entries'!$C:$C,"&lt;="&amp;T$8,'Journal Entries'!$C:$C,"&gt;"&amp;S$8)</f>
        <v>0</v>
      </c>
      <c r="U16" s="43">
        <f>SUMIFS('Journal Entries'!$L:$L,'Journal Entries'!$K:$K,$C16,'Journal Entries'!$C:$C,"&lt;="&amp;U$8,'Journal Entries'!$C:$C,"&gt;"&amp;T$8)</f>
        <v>0</v>
      </c>
      <c r="V16" s="43">
        <f>SUMIFS('Journal Entries'!$L:$L,'Journal Entries'!$K:$K,$C16,'Journal Entries'!$C:$C,"&lt;="&amp;V$8,'Journal Entries'!$C:$C,"&gt;"&amp;U$8)</f>
        <v>0</v>
      </c>
      <c r="W16" s="43">
        <f>SUMIFS('Journal Entries'!$L:$L,'Journal Entries'!$K:$K,$C16,'Journal Entries'!$C:$C,"&lt;="&amp;W$8,'Journal Entries'!$C:$C,"&gt;"&amp;V$8)</f>
        <v>0</v>
      </c>
      <c r="X16" s="43">
        <f>SUMIFS('Journal Entries'!$L:$L,'Journal Entries'!$K:$K,$C16,'Journal Entries'!$C:$C,"&lt;="&amp;X$8,'Journal Entries'!$C:$C,"&gt;"&amp;W$8)</f>
        <v>0</v>
      </c>
      <c r="Y16" s="43">
        <f>SUMIFS('Journal Entries'!$L:$L,'Journal Entries'!$K:$K,$C16,'Journal Entries'!$C:$C,"&lt;="&amp;Y$8,'Journal Entries'!$C:$C,"&gt;"&amp;X$8)</f>
        <v>0</v>
      </c>
      <c r="Z16" s="43">
        <f>SUMIFS('Journal Entries'!$L:$L,'Journal Entries'!$K:$K,$C16,'Journal Entries'!$C:$C,"&lt;="&amp;Z$8,'Journal Entries'!$C:$C,"&gt;"&amp;Y$8)</f>
        <v>0</v>
      </c>
      <c r="AA16" s="43">
        <f>SUMIFS('Journal Entries'!$L:$L,'Journal Entries'!$K:$K,$C16,'Journal Entries'!$C:$C,"&lt;="&amp;AA$8,'Journal Entries'!$C:$C,"&gt;"&amp;Z$8)</f>
        <v>0</v>
      </c>
      <c r="AB16" s="43">
        <f>SUMIFS('Journal Entries'!$L:$L,'Journal Entries'!$K:$K,$C16,'Journal Entries'!$C:$C,"&lt;="&amp;AB$8,'Journal Entries'!$C:$C,"&gt;"&amp;AA$8)</f>
        <v>0</v>
      </c>
      <c r="AC16" s="43">
        <f>SUMIFS('Journal Entries'!$L:$L,'Journal Entries'!$K:$K,$C16,'Journal Entries'!$C:$C,"&lt;="&amp;AC$8,'Journal Entries'!$C:$C,"&gt;"&amp;AB$8)</f>
        <v>0</v>
      </c>
      <c r="AD16" s="43">
        <f>SUMIFS('Journal Entries'!$L:$L,'Journal Entries'!$K:$K,$C16,'Journal Entries'!$C:$C,"&lt;="&amp;AD$8,'Journal Entries'!$C:$C,"&gt;"&amp;AC$8)</f>
        <v>0</v>
      </c>
      <c r="AE16" s="43">
        <f>SUMIFS('Journal Entries'!$L:$L,'Journal Entries'!$K:$K,$C16,'Journal Entries'!$C:$C,"&lt;="&amp;AE$8,'Journal Entries'!$C:$C,"&gt;"&amp;AD$8)</f>
        <v>0</v>
      </c>
      <c r="AF16" s="43">
        <f>SUMIFS('Journal Entries'!$L:$L,'Journal Entries'!$K:$K,$C16,'Journal Entries'!$C:$C,"&lt;="&amp;AF$8,'Journal Entries'!$C:$C,"&gt;"&amp;AE$8)</f>
        <v>0</v>
      </c>
      <c r="AG16" s="43">
        <f>SUMIFS('Journal Entries'!$L:$L,'Journal Entries'!$K:$K,$C16,'Journal Entries'!$C:$C,"&lt;="&amp;AG$8,'Journal Entries'!$C:$C,"&gt;"&amp;AF$8)</f>
        <v>0</v>
      </c>
      <c r="AH16" s="43">
        <f>SUMIFS('Journal Entries'!$L:$L,'Journal Entries'!$K:$K,$C16,'Journal Entries'!$C:$C,"&lt;="&amp;AH$8,'Journal Entries'!$C:$C,"&gt;"&amp;AG$8)</f>
        <v>0</v>
      </c>
      <c r="AI16" s="43">
        <f>SUMIFS('Journal Entries'!$L:$L,'Journal Entries'!$K:$K,$C16,'Journal Entries'!$C:$C,"&lt;="&amp;AI$8,'Journal Entries'!$C:$C,"&gt;"&amp;AH$8)</f>
        <v>0</v>
      </c>
      <c r="AJ16" s="43">
        <f>SUMIFS('Journal Entries'!$L:$L,'Journal Entries'!$K:$K,$C16,'Journal Entries'!$C:$C,"&lt;="&amp;AJ$8,'Journal Entries'!$C:$C,"&gt;"&amp;AI$8)</f>
        <v>0</v>
      </c>
      <c r="AK16" s="43">
        <f>SUMIFS('Journal Entries'!$L:$L,'Journal Entries'!$K:$K,$C16,'Journal Entries'!$C:$C,"&lt;="&amp;AK$8,'Journal Entries'!$C:$C,"&gt;"&amp;AJ$8)</f>
        <v>0</v>
      </c>
      <c r="AL16" s="43">
        <f>SUMIFS('Journal Entries'!$L:$L,'Journal Entries'!$K:$K,$C16,'Journal Entries'!$C:$C,"&lt;="&amp;AL$8,'Journal Entries'!$C:$C,"&gt;"&amp;AK$8)</f>
        <v>0</v>
      </c>
      <c r="AM16" s="43">
        <f>SUMIFS('Journal Entries'!$L:$L,'Journal Entries'!$K:$K,$C16,'Journal Entries'!$C:$C,"&lt;="&amp;AM$8,'Journal Entries'!$C:$C,"&gt;"&amp;AL$8)</f>
        <v>0</v>
      </c>
      <c r="AN16" s="43">
        <f>SUMIFS('Journal Entries'!$L:$L,'Journal Entries'!$K:$K,$C16,'Journal Entries'!$C:$C,"&lt;="&amp;AN$8,'Journal Entries'!$C:$C,"&gt;"&amp;AM$8)</f>
        <v>0</v>
      </c>
      <c r="AO16" s="43">
        <f>SUMIFS('Journal Entries'!$L:$L,'Journal Entries'!$K:$K,$C16,'Journal Entries'!$C:$C,"&lt;="&amp;AO$8,'Journal Entries'!$C:$C,"&gt;"&amp;AN$8)</f>
        <v>0</v>
      </c>
      <c r="AP16" s="43">
        <f>SUMIFS('Journal Entries'!$L:$L,'Journal Entries'!$K:$K,$C16,'Journal Entries'!$C:$C,"&lt;="&amp;AP$8,'Journal Entries'!$C:$C,"&gt;"&amp;AO$8)</f>
        <v>0</v>
      </c>
      <c r="AQ16" s="43">
        <f>SUMIFS('Journal Entries'!$L:$L,'Journal Entries'!$K:$K,$C16,'Journal Entries'!$C:$C,"&lt;="&amp;AQ$8,'Journal Entries'!$C:$C,"&gt;"&amp;AP$8)</f>
        <v>0</v>
      </c>
      <c r="AR16" s="43">
        <f>SUMIFS('Journal Entries'!$L:$L,'Journal Entries'!$K:$K,$C16,'Journal Entries'!$C:$C,"&lt;="&amp;AR$8,'Journal Entries'!$C:$C,"&gt;"&amp;AQ$8)</f>
        <v>0</v>
      </c>
      <c r="AS16" s="43">
        <f>SUMIFS('Journal Entries'!$L:$L,'Journal Entries'!$K:$K,$C16,'Journal Entries'!$C:$C,"&lt;="&amp;AS$8,'Journal Entries'!$C:$C,"&gt;"&amp;AR$8)</f>
        <v>0</v>
      </c>
      <c r="AT16" s="43">
        <f>SUMIFS('Journal Entries'!$L:$L,'Journal Entries'!$K:$K,$C16,'Journal Entries'!$C:$C,"&lt;="&amp;AT$8,'Journal Entries'!$C:$C,"&gt;"&amp;AS$8)</f>
        <v>0</v>
      </c>
      <c r="AU16" s="43">
        <f>SUMIFS('Journal Entries'!$L:$L,'Journal Entries'!$K:$K,$C16,'Journal Entries'!$C:$C,"&lt;="&amp;AU$8,'Journal Entries'!$C:$C,"&gt;"&amp;AT$8)</f>
        <v>0</v>
      </c>
      <c r="AV16" s="43">
        <f>SUMIFS('Journal Entries'!$L:$L,'Journal Entries'!$K:$K,$C16,'Journal Entries'!$C:$C,"&lt;="&amp;AV$8,'Journal Entries'!$C:$C,"&gt;"&amp;AU$8)</f>
        <v>0</v>
      </c>
      <c r="AW16" s="43">
        <f>SUMIFS('Journal Entries'!$L:$L,'Journal Entries'!$K:$K,$C16,'Journal Entries'!$C:$C,"&lt;="&amp;AW$8,'Journal Entries'!$C:$C,"&gt;"&amp;AV$8)</f>
        <v>0</v>
      </c>
      <c r="AX16" s="43">
        <f>SUMIFS('Journal Entries'!$L:$L,'Journal Entries'!$K:$K,$C16,'Journal Entries'!$C:$C,"&lt;="&amp;AX$8,'Journal Entries'!$C:$C,"&gt;"&amp;AW$8)</f>
        <v>0</v>
      </c>
      <c r="AY16" s="43">
        <f>SUMIFS('Journal Entries'!$L:$L,'Journal Entries'!$K:$K,$C16,'Journal Entries'!$C:$C,"&lt;="&amp;AY$8,'Journal Entries'!$C:$C,"&gt;"&amp;AX$8)</f>
        <v>0</v>
      </c>
      <c r="AZ16" s="43">
        <f>SUMIFS('Journal Entries'!$L:$L,'Journal Entries'!$K:$K,$C16,'Journal Entries'!$C:$C,"&lt;="&amp;AZ$8,'Journal Entries'!$C:$C,"&gt;"&amp;AY$8)</f>
        <v>0</v>
      </c>
      <c r="BA16" s="43">
        <f>SUMIFS('Journal Entries'!$L:$L,'Journal Entries'!$K:$K,$C16,'Journal Entries'!$C:$C,"&lt;="&amp;BA$8,'Journal Entries'!$C:$C,"&gt;"&amp;AZ$8)</f>
        <v>0</v>
      </c>
      <c r="BB16" s="43">
        <f>SUMIFS('Journal Entries'!$L:$L,'Journal Entries'!$K:$K,$C16,'Journal Entries'!$C:$C,"&lt;="&amp;BB$8,'Journal Entries'!$C:$C,"&gt;"&amp;BA$8)</f>
        <v>0</v>
      </c>
      <c r="BC16" s="43">
        <f>SUMIFS('Journal Entries'!$L:$L,'Journal Entries'!$K:$K,$C16,'Journal Entries'!$C:$C,"&lt;="&amp;BC$8,'Journal Entries'!$C:$C,"&gt;"&amp;BB$8)</f>
        <v>0</v>
      </c>
      <c r="BD16" s="43">
        <f>SUMIFS('Journal Entries'!$L:$L,'Journal Entries'!$K:$K,$C16,'Journal Entries'!$C:$C,"&lt;="&amp;BD$8,'Journal Entries'!$C:$C,"&gt;"&amp;BC$8)</f>
        <v>0</v>
      </c>
      <c r="BE16" s="43">
        <f>SUMIFS('Journal Entries'!$L:$L,'Journal Entries'!$K:$K,$C16,'Journal Entries'!$C:$C,"&lt;="&amp;BE$8,'Journal Entries'!$C:$C,"&gt;"&amp;BD$8)</f>
        <v>0</v>
      </c>
      <c r="BF16" s="43">
        <f>SUMIFS('Journal Entries'!$L:$L,'Journal Entries'!$K:$K,$C16,'Journal Entries'!$C:$C,"&lt;="&amp;BF$8,'Journal Entries'!$C:$C,"&gt;"&amp;BE$8)</f>
        <v>0</v>
      </c>
      <c r="BG16" s="43">
        <f>SUMIFS('Journal Entries'!$L:$L,'Journal Entries'!$K:$K,$C16,'Journal Entries'!$C:$C,"&lt;="&amp;BG$8,'Journal Entries'!$C:$C,"&gt;"&amp;BF$8)</f>
        <v>0</v>
      </c>
      <c r="BH16" s="43">
        <f>SUMIFS('Journal Entries'!$L:$L,'Journal Entries'!$K:$K,$C16,'Journal Entries'!$C:$C,"&lt;="&amp;BH$8,'Journal Entries'!$C:$C,"&gt;"&amp;BG$8)</f>
        <v>0</v>
      </c>
      <c r="BI16" s="43">
        <f>SUMIFS('Journal Entries'!$L:$L,'Journal Entries'!$K:$K,$C16,'Journal Entries'!$C:$C,"&lt;="&amp;BI$8,'Journal Entries'!$C:$C,"&gt;"&amp;BH$8)</f>
        <v>0</v>
      </c>
      <c r="BJ16" s="43">
        <f>SUMIFS('Journal Entries'!$L:$L,'Journal Entries'!$K:$K,$C16,'Journal Entries'!$C:$C,"&lt;="&amp;BJ$8,'Journal Entries'!$C:$C,"&gt;"&amp;BI$8)</f>
        <v>0</v>
      </c>
      <c r="BK16" s="43">
        <f>SUMIFS('Journal Entries'!$L:$L,'Journal Entries'!$K:$K,$C16,'Journal Entries'!$C:$C,"&lt;="&amp;BK$8,'Journal Entries'!$C:$C,"&gt;"&amp;BJ$8)</f>
        <v>0</v>
      </c>
      <c r="BL16" s="43">
        <f>SUMIFS('Journal Entries'!$L:$L,'Journal Entries'!$K:$K,$C16,'Journal Entries'!$C:$C,"&lt;="&amp;BL$8,'Journal Entries'!$C:$C,"&gt;"&amp;BK$8)</f>
        <v>0</v>
      </c>
    </row>
    <row r="17" spans="2:64" x14ac:dyDescent="0.25">
      <c r="B17" s="10">
        <v>1070</v>
      </c>
      <c r="C17" s="10" t="str">
        <f>VLOOKUP(B17,'Chart of Accounts'!$B$3:$C$95,2,0)</f>
        <v>Loan/Notes receivable</v>
      </c>
      <c r="D17" s="525">
        <f t="shared" si="2"/>
        <v>1647639.4373176889</v>
      </c>
      <c r="E17" s="43">
        <f>SUMIFS('Journal Entries'!$L:$L,'Journal Entries'!$K:$K,$C17,'Journal Entries'!$C:$C,"&lt;="&amp;E$8,'Journal Entries'!$C:$C,"&gt;"&amp;D$8)</f>
        <v>0</v>
      </c>
      <c r="F17" s="43">
        <f>SUMIFS('Journal Entries'!$L:$L,'Journal Entries'!$K:$K,$C17,'Journal Entries'!$C:$C,"&lt;="&amp;F$8,'Journal Entries'!$C:$C,"&gt;"&amp;E$8)</f>
        <v>0</v>
      </c>
      <c r="G17" s="43">
        <f>SUMIFS('Journal Entries'!$L:$L,'Journal Entries'!$K:$K,$C17,'Journal Entries'!$C:$C,"&lt;="&amp;G$8,'Journal Entries'!$C:$C,"&gt;"&amp;F$8)</f>
        <v>0</v>
      </c>
      <c r="H17" s="43">
        <f>SUMIFS('Journal Entries'!$L:$L,'Journal Entries'!$K:$K,$C17,'Journal Entries'!$C:$C,"&lt;="&amp;H$8,'Journal Entries'!$C:$C,"&gt;"&amp;G$8)</f>
        <v>0</v>
      </c>
      <c r="I17" s="43">
        <f>SUMIFS('Journal Entries'!$L:$L,'Journal Entries'!$K:$K,$C17,'Journal Entries'!$C:$C,"&lt;="&amp;I$8,'Journal Entries'!$C:$C,"&gt;"&amp;H$8)</f>
        <v>5000000</v>
      </c>
      <c r="J17" s="43">
        <f>SUMIFS('Journal Entries'!$L:$L,'Journal Entries'!$K:$K,$C17,'Journal Entries'!$C:$C,"&lt;="&amp;J$8,'Journal Entries'!$C:$C,"&gt;"&amp;I$8)</f>
        <v>-83209.187848604561</v>
      </c>
      <c r="K17" s="43">
        <f>SUMIFS('Journal Entries'!$L:$L,'Journal Entries'!$K:$K,$C17,'Journal Entries'!$C:$C,"&lt;="&amp;K$8,'Journal Entries'!$C:$C,"&gt;"&amp;J$8)</f>
        <v>-83961.489544106531</v>
      </c>
      <c r="L17" s="43">
        <f>SUMIFS('Journal Entries'!$L:$L,'Journal Entries'!$K:$K,$C17,'Journal Entries'!$C:$C,"&lt;="&amp;L$8,'Journal Entries'!$C:$C,"&gt;"&amp;K$8)</f>
        <v>-84721.276256451587</v>
      </c>
      <c r="M17" s="43">
        <f>SUMIFS('Journal Entries'!$L:$L,'Journal Entries'!$K:$K,$C17,'Journal Entries'!$C:$C,"&lt;="&amp;M$8,'Journal Entries'!$C:$C,"&gt;"&amp;L$8)</f>
        <v>-85488.628756654565</v>
      </c>
      <c r="N17" s="43">
        <f>SUMIFS('Journal Entries'!$L:$L,'Journal Entries'!$K:$K,$C17,'Journal Entries'!$C:$C,"&lt;="&amp;N$8,'Journal Entries'!$C:$C,"&gt;"&amp;M$8)</f>
        <v>-86263.628740090076</v>
      </c>
      <c r="O17" s="43">
        <f>SUMIFS('Journal Entries'!$L:$L,'Journal Entries'!$K:$K,$C17,'Journal Entries'!$C:$C,"&lt;="&amp;O$8,'Journal Entries'!$C:$C,"&gt;"&amp;N$8)</f>
        <v>-87046.358837478358</v>
      </c>
      <c r="P17" s="43">
        <f>SUMIFS('Journal Entries'!$L:$L,'Journal Entries'!$K:$K,$C17,'Journal Entries'!$C:$C,"&lt;="&amp;P$8,'Journal Entries'!$C:$C,"&gt;"&amp;O$8)</f>
        <v>-2841669.9926989255</v>
      </c>
      <c r="Q17" s="43">
        <f>SUMIFS('Journal Entries'!$L:$L,'Journal Entries'!$K:$K,$C17,'Journal Entries'!$C:$C,"&lt;="&amp;Q$8,'Journal Entries'!$C:$C,"&gt;"&amp;P$8)</f>
        <v>0</v>
      </c>
      <c r="R17" s="43">
        <f>SUMIFS('Journal Entries'!$L:$L,'Journal Entries'!$K:$K,$C17,'Journal Entries'!$C:$C,"&lt;="&amp;R$8,'Journal Entries'!$C:$C,"&gt;"&amp;Q$8)</f>
        <v>0</v>
      </c>
      <c r="S17" s="43">
        <f>SUMIFS('Journal Entries'!$L:$L,'Journal Entries'!$K:$K,$C17,'Journal Entries'!$C:$C,"&lt;="&amp;S$8,'Journal Entries'!$C:$C,"&gt;"&amp;R$8)</f>
        <v>0</v>
      </c>
      <c r="T17" s="43">
        <f>SUMIFS('Journal Entries'!$L:$L,'Journal Entries'!$K:$K,$C17,'Journal Entries'!$C:$C,"&lt;="&amp;T$8,'Journal Entries'!$C:$C,"&gt;"&amp;S$8)</f>
        <v>0</v>
      </c>
      <c r="U17" s="43">
        <f>SUMIFS('Journal Entries'!$L:$L,'Journal Entries'!$K:$K,$C17,'Journal Entries'!$C:$C,"&lt;="&amp;U$8,'Journal Entries'!$C:$C,"&gt;"&amp;T$8)</f>
        <v>0</v>
      </c>
      <c r="V17" s="43">
        <f>SUMIFS('Journal Entries'!$L:$L,'Journal Entries'!$K:$K,$C17,'Journal Entries'!$C:$C,"&lt;="&amp;V$8,'Journal Entries'!$C:$C,"&gt;"&amp;U$8)</f>
        <v>0</v>
      </c>
      <c r="W17" s="43">
        <f>SUMIFS('Journal Entries'!$L:$L,'Journal Entries'!$K:$K,$C17,'Journal Entries'!$C:$C,"&lt;="&amp;W$8,'Journal Entries'!$C:$C,"&gt;"&amp;V$8)</f>
        <v>0</v>
      </c>
      <c r="X17" s="43">
        <f>SUMIFS('Journal Entries'!$L:$L,'Journal Entries'!$K:$K,$C17,'Journal Entries'!$C:$C,"&lt;="&amp;X$8,'Journal Entries'!$C:$C,"&gt;"&amp;W$8)</f>
        <v>0</v>
      </c>
      <c r="Y17" s="43">
        <f>SUMIFS('Journal Entries'!$L:$L,'Journal Entries'!$K:$K,$C17,'Journal Entries'!$C:$C,"&lt;="&amp;Y$8,'Journal Entries'!$C:$C,"&gt;"&amp;X$8)</f>
        <v>0</v>
      </c>
      <c r="Z17" s="43">
        <f>SUMIFS('Journal Entries'!$L:$L,'Journal Entries'!$K:$K,$C17,'Journal Entries'!$C:$C,"&lt;="&amp;Z$8,'Journal Entries'!$C:$C,"&gt;"&amp;Y$8)</f>
        <v>0</v>
      </c>
      <c r="AA17" s="43">
        <f>SUMIFS('Journal Entries'!$L:$L,'Journal Entries'!$K:$K,$C17,'Journal Entries'!$C:$C,"&lt;="&amp;AA$8,'Journal Entries'!$C:$C,"&gt;"&amp;Z$8)</f>
        <v>0</v>
      </c>
      <c r="AB17" s="43">
        <f>SUMIFS('Journal Entries'!$L:$L,'Journal Entries'!$K:$K,$C17,'Journal Entries'!$C:$C,"&lt;="&amp;AB$8,'Journal Entries'!$C:$C,"&gt;"&amp;AA$8)</f>
        <v>0</v>
      </c>
      <c r="AC17" s="43">
        <f>SUMIFS('Journal Entries'!$L:$L,'Journal Entries'!$K:$K,$C17,'Journal Entries'!$C:$C,"&lt;="&amp;AC$8,'Journal Entries'!$C:$C,"&gt;"&amp;AB$8)</f>
        <v>0</v>
      </c>
      <c r="AD17" s="43">
        <f>SUMIFS('Journal Entries'!$L:$L,'Journal Entries'!$K:$K,$C17,'Journal Entries'!$C:$C,"&lt;="&amp;AD$8,'Journal Entries'!$C:$C,"&gt;"&amp;AC$8)</f>
        <v>0</v>
      </c>
      <c r="AE17" s="43">
        <f>SUMIFS('Journal Entries'!$L:$L,'Journal Entries'!$K:$K,$C17,'Journal Entries'!$C:$C,"&lt;="&amp;AE$8,'Journal Entries'!$C:$C,"&gt;"&amp;AD$8)</f>
        <v>0</v>
      </c>
      <c r="AF17" s="43">
        <f>SUMIFS('Journal Entries'!$L:$L,'Journal Entries'!$K:$K,$C17,'Journal Entries'!$C:$C,"&lt;="&amp;AF$8,'Journal Entries'!$C:$C,"&gt;"&amp;AE$8)</f>
        <v>0</v>
      </c>
      <c r="AG17" s="43">
        <f>SUMIFS('Journal Entries'!$L:$L,'Journal Entries'!$K:$K,$C17,'Journal Entries'!$C:$C,"&lt;="&amp;AG$8,'Journal Entries'!$C:$C,"&gt;"&amp;AF$8)</f>
        <v>0</v>
      </c>
      <c r="AH17" s="43">
        <f>SUMIFS('Journal Entries'!$L:$L,'Journal Entries'!$K:$K,$C17,'Journal Entries'!$C:$C,"&lt;="&amp;AH$8,'Journal Entries'!$C:$C,"&gt;"&amp;AG$8)</f>
        <v>0</v>
      </c>
      <c r="AI17" s="43">
        <f>SUMIFS('Journal Entries'!$L:$L,'Journal Entries'!$K:$K,$C17,'Journal Entries'!$C:$C,"&lt;="&amp;AI$8,'Journal Entries'!$C:$C,"&gt;"&amp;AH$8)</f>
        <v>0</v>
      </c>
      <c r="AJ17" s="43">
        <f>SUMIFS('Journal Entries'!$L:$L,'Journal Entries'!$K:$K,$C17,'Journal Entries'!$C:$C,"&lt;="&amp;AJ$8,'Journal Entries'!$C:$C,"&gt;"&amp;AI$8)</f>
        <v>0</v>
      </c>
      <c r="AK17" s="43">
        <f>SUMIFS('Journal Entries'!$L:$L,'Journal Entries'!$K:$K,$C17,'Journal Entries'!$C:$C,"&lt;="&amp;AK$8,'Journal Entries'!$C:$C,"&gt;"&amp;AJ$8)</f>
        <v>0</v>
      </c>
      <c r="AL17" s="43">
        <f>SUMIFS('Journal Entries'!$L:$L,'Journal Entries'!$K:$K,$C17,'Journal Entries'!$C:$C,"&lt;="&amp;AL$8,'Journal Entries'!$C:$C,"&gt;"&amp;AK$8)</f>
        <v>0</v>
      </c>
      <c r="AM17" s="43">
        <f>SUMIFS('Journal Entries'!$L:$L,'Journal Entries'!$K:$K,$C17,'Journal Entries'!$C:$C,"&lt;="&amp;AM$8,'Journal Entries'!$C:$C,"&gt;"&amp;AL$8)</f>
        <v>0</v>
      </c>
      <c r="AN17" s="43">
        <f>SUMIFS('Journal Entries'!$L:$L,'Journal Entries'!$K:$K,$C17,'Journal Entries'!$C:$C,"&lt;="&amp;AN$8,'Journal Entries'!$C:$C,"&gt;"&amp;AM$8)</f>
        <v>0</v>
      </c>
      <c r="AO17" s="43">
        <f>SUMIFS('Journal Entries'!$L:$L,'Journal Entries'!$K:$K,$C17,'Journal Entries'!$C:$C,"&lt;="&amp;AO$8,'Journal Entries'!$C:$C,"&gt;"&amp;AN$8)</f>
        <v>0</v>
      </c>
      <c r="AP17" s="43">
        <f>SUMIFS('Journal Entries'!$L:$L,'Journal Entries'!$K:$K,$C17,'Journal Entries'!$C:$C,"&lt;="&amp;AP$8,'Journal Entries'!$C:$C,"&gt;"&amp;AO$8)</f>
        <v>0</v>
      </c>
      <c r="AQ17" s="43">
        <f>SUMIFS('Journal Entries'!$L:$L,'Journal Entries'!$K:$K,$C17,'Journal Entries'!$C:$C,"&lt;="&amp;AQ$8,'Journal Entries'!$C:$C,"&gt;"&amp;AP$8)</f>
        <v>0</v>
      </c>
      <c r="AR17" s="43">
        <f>SUMIFS('Journal Entries'!$L:$L,'Journal Entries'!$K:$K,$C17,'Journal Entries'!$C:$C,"&lt;="&amp;AR$8,'Journal Entries'!$C:$C,"&gt;"&amp;AQ$8)</f>
        <v>0</v>
      </c>
      <c r="AS17" s="43">
        <f>SUMIFS('Journal Entries'!$L:$L,'Journal Entries'!$K:$K,$C17,'Journal Entries'!$C:$C,"&lt;="&amp;AS$8,'Journal Entries'!$C:$C,"&gt;"&amp;AR$8)</f>
        <v>0</v>
      </c>
      <c r="AT17" s="43">
        <f>SUMIFS('Journal Entries'!$L:$L,'Journal Entries'!$K:$K,$C17,'Journal Entries'!$C:$C,"&lt;="&amp;AT$8,'Journal Entries'!$C:$C,"&gt;"&amp;AS$8)</f>
        <v>0</v>
      </c>
      <c r="AU17" s="43">
        <f>SUMIFS('Journal Entries'!$L:$L,'Journal Entries'!$K:$K,$C17,'Journal Entries'!$C:$C,"&lt;="&amp;AU$8,'Journal Entries'!$C:$C,"&gt;"&amp;AT$8)</f>
        <v>0</v>
      </c>
      <c r="AV17" s="43">
        <f>SUMIFS('Journal Entries'!$L:$L,'Journal Entries'!$K:$K,$C17,'Journal Entries'!$C:$C,"&lt;="&amp;AV$8,'Journal Entries'!$C:$C,"&gt;"&amp;AU$8)</f>
        <v>0</v>
      </c>
      <c r="AW17" s="43">
        <f>SUMIFS('Journal Entries'!$L:$L,'Journal Entries'!$K:$K,$C17,'Journal Entries'!$C:$C,"&lt;="&amp;AW$8,'Journal Entries'!$C:$C,"&gt;"&amp;AV$8)</f>
        <v>0</v>
      </c>
      <c r="AX17" s="43">
        <f>SUMIFS('Journal Entries'!$L:$L,'Journal Entries'!$K:$K,$C17,'Journal Entries'!$C:$C,"&lt;="&amp;AX$8,'Journal Entries'!$C:$C,"&gt;"&amp;AW$8)</f>
        <v>0</v>
      </c>
      <c r="AY17" s="43">
        <f>SUMIFS('Journal Entries'!$L:$L,'Journal Entries'!$K:$K,$C17,'Journal Entries'!$C:$C,"&lt;="&amp;AY$8,'Journal Entries'!$C:$C,"&gt;"&amp;AX$8)</f>
        <v>0</v>
      </c>
      <c r="AZ17" s="43">
        <f>SUMIFS('Journal Entries'!$L:$L,'Journal Entries'!$K:$K,$C17,'Journal Entries'!$C:$C,"&lt;="&amp;AZ$8,'Journal Entries'!$C:$C,"&gt;"&amp;AY$8)</f>
        <v>0</v>
      </c>
      <c r="BA17" s="43">
        <f>SUMIFS('Journal Entries'!$L:$L,'Journal Entries'!$K:$K,$C17,'Journal Entries'!$C:$C,"&lt;="&amp;BA$8,'Journal Entries'!$C:$C,"&gt;"&amp;AZ$8)</f>
        <v>0</v>
      </c>
      <c r="BB17" s="43">
        <f>SUMIFS('Journal Entries'!$L:$L,'Journal Entries'!$K:$K,$C17,'Journal Entries'!$C:$C,"&lt;="&amp;BB$8,'Journal Entries'!$C:$C,"&gt;"&amp;BA$8)</f>
        <v>0</v>
      </c>
      <c r="BC17" s="43">
        <f>SUMIFS('Journal Entries'!$L:$L,'Journal Entries'!$K:$K,$C17,'Journal Entries'!$C:$C,"&lt;="&amp;BC$8,'Journal Entries'!$C:$C,"&gt;"&amp;BB$8)</f>
        <v>0</v>
      </c>
      <c r="BD17" s="43">
        <f>SUMIFS('Journal Entries'!$L:$L,'Journal Entries'!$K:$K,$C17,'Journal Entries'!$C:$C,"&lt;="&amp;BD$8,'Journal Entries'!$C:$C,"&gt;"&amp;BC$8)</f>
        <v>0</v>
      </c>
      <c r="BE17" s="43">
        <f>SUMIFS('Journal Entries'!$L:$L,'Journal Entries'!$K:$K,$C17,'Journal Entries'!$C:$C,"&lt;="&amp;BE$8,'Journal Entries'!$C:$C,"&gt;"&amp;BD$8)</f>
        <v>0</v>
      </c>
      <c r="BF17" s="43">
        <f>SUMIFS('Journal Entries'!$L:$L,'Journal Entries'!$K:$K,$C17,'Journal Entries'!$C:$C,"&lt;="&amp;BF$8,'Journal Entries'!$C:$C,"&gt;"&amp;BE$8)</f>
        <v>0</v>
      </c>
      <c r="BG17" s="43">
        <f>SUMIFS('Journal Entries'!$L:$L,'Journal Entries'!$K:$K,$C17,'Journal Entries'!$C:$C,"&lt;="&amp;BG$8,'Journal Entries'!$C:$C,"&gt;"&amp;BF$8)</f>
        <v>0</v>
      </c>
      <c r="BH17" s="43">
        <f>SUMIFS('Journal Entries'!$L:$L,'Journal Entries'!$K:$K,$C17,'Journal Entries'!$C:$C,"&lt;="&amp;BH$8,'Journal Entries'!$C:$C,"&gt;"&amp;BG$8)</f>
        <v>0</v>
      </c>
      <c r="BI17" s="43">
        <f>SUMIFS('Journal Entries'!$L:$L,'Journal Entries'!$K:$K,$C17,'Journal Entries'!$C:$C,"&lt;="&amp;BI$8,'Journal Entries'!$C:$C,"&gt;"&amp;BH$8)</f>
        <v>0</v>
      </c>
      <c r="BJ17" s="43">
        <f>SUMIFS('Journal Entries'!$L:$L,'Journal Entries'!$K:$K,$C17,'Journal Entries'!$C:$C,"&lt;="&amp;BJ$8,'Journal Entries'!$C:$C,"&gt;"&amp;BI$8)</f>
        <v>0</v>
      </c>
      <c r="BK17" s="43">
        <f>SUMIFS('Journal Entries'!$L:$L,'Journal Entries'!$K:$K,$C17,'Journal Entries'!$C:$C,"&lt;="&amp;BK$8,'Journal Entries'!$C:$C,"&gt;"&amp;BJ$8)</f>
        <v>0</v>
      </c>
      <c r="BL17" s="43">
        <f>SUMIFS('Journal Entries'!$L:$L,'Journal Entries'!$K:$K,$C17,'Journal Entries'!$C:$C,"&lt;="&amp;BL$8,'Journal Entries'!$C:$C,"&gt;"&amp;BK$8)</f>
        <v>0</v>
      </c>
    </row>
    <row r="18" spans="2:64" x14ac:dyDescent="0.25">
      <c r="B18" s="10">
        <v>1080</v>
      </c>
      <c r="C18" s="10" t="str">
        <f>VLOOKUP(B18,'Chart of Accounts'!$B$3:$C$95,2,0)</f>
        <v>Prepaid assets</v>
      </c>
      <c r="D18" s="525">
        <f t="shared" si="2"/>
        <v>0</v>
      </c>
      <c r="E18" s="43">
        <f>SUMIFS('Journal Entries'!$L:$L,'Journal Entries'!$K:$K,$C18,'Journal Entries'!$C:$C,"&lt;="&amp;E$8,'Journal Entries'!$C:$C,"&gt;"&amp;D$8)</f>
        <v>0</v>
      </c>
      <c r="F18" s="43">
        <f>SUMIFS('Journal Entries'!$L:$L,'Journal Entries'!$K:$K,$C18,'Journal Entries'!$C:$C,"&lt;="&amp;F$8,'Journal Entries'!$C:$C,"&gt;"&amp;E$8)</f>
        <v>0</v>
      </c>
      <c r="G18" s="43">
        <f>SUMIFS('Journal Entries'!$L:$L,'Journal Entries'!$K:$K,$C18,'Journal Entries'!$C:$C,"&lt;="&amp;G$8,'Journal Entries'!$C:$C,"&gt;"&amp;F$8)</f>
        <v>0</v>
      </c>
      <c r="H18" s="43">
        <f>SUMIFS('Journal Entries'!$L:$L,'Journal Entries'!$K:$K,$C18,'Journal Entries'!$C:$C,"&lt;="&amp;H$8,'Journal Entries'!$C:$C,"&gt;"&amp;G$8)</f>
        <v>0</v>
      </c>
      <c r="I18" s="43">
        <f>SUMIFS('Journal Entries'!$L:$L,'Journal Entries'!$K:$K,$C18,'Journal Entries'!$C:$C,"&lt;="&amp;I$8,'Journal Entries'!$C:$C,"&gt;"&amp;H$8)</f>
        <v>0</v>
      </c>
      <c r="J18" s="43">
        <f>SUMIFS('Journal Entries'!$L:$L,'Journal Entries'!$K:$K,$C18,'Journal Entries'!$C:$C,"&lt;="&amp;J$8,'Journal Entries'!$C:$C,"&gt;"&amp;I$8)</f>
        <v>0</v>
      </c>
      <c r="K18" s="43">
        <f>SUMIFS('Journal Entries'!$L:$L,'Journal Entries'!$K:$K,$C18,'Journal Entries'!$C:$C,"&lt;="&amp;K$8,'Journal Entries'!$C:$C,"&gt;"&amp;J$8)</f>
        <v>0</v>
      </c>
      <c r="L18" s="43">
        <f>SUMIFS('Journal Entries'!$L:$L,'Journal Entries'!$K:$K,$C18,'Journal Entries'!$C:$C,"&lt;="&amp;L$8,'Journal Entries'!$C:$C,"&gt;"&amp;K$8)</f>
        <v>0</v>
      </c>
      <c r="M18" s="43">
        <f>SUMIFS('Journal Entries'!$L:$L,'Journal Entries'!$K:$K,$C18,'Journal Entries'!$C:$C,"&lt;="&amp;M$8,'Journal Entries'!$C:$C,"&gt;"&amp;L$8)</f>
        <v>0</v>
      </c>
      <c r="N18" s="43">
        <f>SUMIFS('Journal Entries'!$L:$L,'Journal Entries'!$K:$K,$C18,'Journal Entries'!$C:$C,"&lt;="&amp;N$8,'Journal Entries'!$C:$C,"&gt;"&amp;M$8)</f>
        <v>0</v>
      </c>
      <c r="O18" s="43">
        <f>SUMIFS('Journal Entries'!$L:$L,'Journal Entries'!$K:$K,$C18,'Journal Entries'!$C:$C,"&lt;="&amp;O$8,'Journal Entries'!$C:$C,"&gt;"&amp;N$8)</f>
        <v>0</v>
      </c>
      <c r="P18" s="43">
        <f>SUMIFS('Journal Entries'!$L:$L,'Journal Entries'!$K:$K,$C18,'Journal Entries'!$C:$C,"&lt;="&amp;P$8,'Journal Entries'!$C:$C,"&gt;"&amp;O$8)</f>
        <v>0</v>
      </c>
      <c r="Q18" s="43">
        <f>SUMIFS('Journal Entries'!$L:$L,'Journal Entries'!$K:$K,$C18,'Journal Entries'!$C:$C,"&lt;="&amp;Q$8,'Journal Entries'!$C:$C,"&gt;"&amp;P$8)</f>
        <v>0</v>
      </c>
      <c r="R18" s="43">
        <f>SUMIFS('Journal Entries'!$L:$L,'Journal Entries'!$K:$K,$C18,'Journal Entries'!$C:$C,"&lt;="&amp;R$8,'Journal Entries'!$C:$C,"&gt;"&amp;Q$8)</f>
        <v>0</v>
      </c>
      <c r="S18" s="43">
        <f>SUMIFS('Journal Entries'!$L:$L,'Journal Entries'!$K:$K,$C18,'Journal Entries'!$C:$C,"&lt;="&amp;S$8,'Journal Entries'!$C:$C,"&gt;"&amp;R$8)</f>
        <v>0</v>
      </c>
      <c r="T18" s="43">
        <f>SUMIFS('Journal Entries'!$L:$L,'Journal Entries'!$K:$K,$C18,'Journal Entries'!$C:$C,"&lt;="&amp;T$8,'Journal Entries'!$C:$C,"&gt;"&amp;S$8)</f>
        <v>0</v>
      </c>
      <c r="U18" s="43">
        <f>SUMIFS('Journal Entries'!$L:$L,'Journal Entries'!$K:$K,$C18,'Journal Entries'!$C:$C,"&lt;="&amp;U$8,'Journal Entries'!$C:$C,"&gt;"&amp;T$8)</f>
        <v>0</v>
      </c>
      <c r="V18" s="43">
        <f>SUMIFS('Journal Entries'!$L:$L,'Journal Entries'!$K:$K,$C18,'Journal Entries'!$C:$C,"&lt;="&amp;V$8,'Journal Entries'!$C:$C,"&gt;"&amp;U$8)</f>
        <v>0</v>
      </c>
      <c r="W18" s="43">
        <f>SUMIFS('Journal Entries'!$L:$L,'Journal Entries'!$K:$K,$C18,'Journal Entries'!$C:$C,"&lt;="&amp;W$8,'Journal Entries'!$C:$C,"&gt;"&amp;V$8)</f>
        <v>0</v>
      </c>
      <c r="X18" s="43">
        <f>SUMIFS('Journal Entries'!$L:$L,'Journal Entries'!$K:$K,$C18,'Journal Entries'!$C:$C,"&lt;="&amp;X$8,'Journal Entries'!$C:$C,"&gt;"&amp;W$8)</f>
        <v>0</v>
      </c>
      <c r="Y18" s="43">
        <f>SUMIFS('Journal Entries'!$L:$L,'Journal Entries'!$K:$K,$C18,'Journal Entries'!$C:$C,"&lt;="&amp;Y$8,'Journal Entries'!$C:$C,"&gt;"&amp;X$8)</f>
        <v>0</v>
      </c>
      <c r="Z18" s="43">
        <f>SUMIFS('Journal Entries'!$L:$L,'Journal Entries'!$K:$K,$C18,'Journal Entries'!$C:$C,"&lt;="&amp;Z$8,'Journal Entries'!$C:$C,"&gt;"&amp;Y$8)</f>
        <v>0</v>
      </c>
      <c r="AA18" s="43">
        <f>SUMIFS('Journal Entries'!$L:$L,'Journal Entries'!$K:$K,$C18,'Journal Entries'!$C:$C,"&lt;="&amp;AA$8,'Journal Entries'!$C:$C,"&gt;"&amp;Z$8)</f>
        <v>0</v>
      </c>
      <c r="AB18" s="43">
        <f>SUMIFS('Journal Entries'!$L:$L,'Journal Entries'!$K:$K,$C18,'Journal Entries'!$C:$C,"&lt;="&amp;AB$8,'Journal Entries'!$C:$C,"&gt;"&amp;AA$8)</f>
        <v>0</v>
      </c>
      <c r="AC18" s="43">
        <f>SUMIFS('Journal Entries'!$L:$L,'Journal Entries'!$K:$K,$C18,'Journal Entries'!$C:$C,"&lt;="&amp;AC$8,'Journal Entries'!$C:$C,"&gt;"&amp;AB$8)</f>
        <v>0</v>
      </c>
      <c r="AD18" s="43">
        <f>SUMIFS('Journal Entries'!$L:$L,'Journal Entries'!$K:$K,$C18,'Journal Entries'!$C:$C,"&lt;="&amp;AD$8,'Journal Entries'!$C:$C,"&gt;"&amp;AC$8)</f>
        <v>0</v>
      </c>
      <c r="AE18" s="43">
        <f>SUMIFS('Journal Entries'!$L:$L,'Journal Entries'!$K:$K,$C18,'Journal Entries'!$C:$C,"&lt;="&amp;AE$8,'Journal Entries'!$C:$C,"&gt;"&amp;AD$8)</f>
        <v>0</v>
      </c>
      <c r="AF18" s="43">
        <f>SUMIFS('Journal Entries'!$L:$L,'Journal Entries'!$K:$K,$C18,'Journal Entries'!$C:$C,"&lt;="&amp;AF$8,'Journal Entries'!$C:$C,"&gt;"&amp;AE$8)</f>
        <v>0</v>
      </c>
      <c r="AG18" s="43">
        <f>SUMIFS('Journal Entries'!$L:$L,'Journal Entries'!$K:$K,$C18,'Journal Entries'!$C:$C,"&lt;="&amp;AG$8,'Journal Entries'!$C:$C,"&gt;"&amp;AF$8)</f>
        <v>0</v>
      </c>
      <c r="AH18" s="43">
        <f>SUMIFS('Journal Entries'!$L:$L,'Journal Entries'!$K:$K,$C18,'Journal Entries'!$C:$C,"&lt;="&amp;AH$8,'Journal Entries'!$C:$C,"&gt;"&amp;AG$8)</f>
        <v>0</v>
      </c>
      <c r="AI18" s="43">
        <f>SUMIFS('Journal Entries'!$L:$L,'Journal Entries'!$K:$K,$C18,'Journal Entries'!$C:$C,"&lt;="&amp;AI$8,'Journal Entries'!$C:$C,"&gt;"&amp;AH$8)</f>
        <v>0</v>
      </c>
      <c r="AJ18" s="43">
        <f>SUMIFS('Journal Entries'!$L:$L,'Journal Entries'!$K:$K,$C18,'Journal Entries'!$C:$C,"&lt;="&amp;AJ$8,'Journal Entries'!$C:$C,"&gt;"&amp;AI$8)</f>
        <v>0</v>
      </c>
      <c r="AK18" s="43">
        <f>SUMIFS('Journal Entries'!$L:$L,'Journal Entries'!$K:$K,$C18,'Journal Entries'!$C:$C,"&lt;="&amp;AK$8,'Journal Entries'!$C:$C,"&gt;"&amp;AJ$8)</f>
        <v>0</v>
      </c>
      <c r="AL18" s="43">
        <f>SUMIFS('Journal Entries'!$L:$L,'Journal Entries'!$K:$K,$C18,'Journal Entries'!$C:$C,"&lt;="&amp;AL$8,'Journal Entries'!$C:$C,"&gt;"&amp;AK$8)</f>
        <v>0</v>
      </c>
      <c r="AM18" s="43">
        <f>SUMIFS('Journal Entries'!$L:$L,'Journal Entries'!$K:$K,$C18,'Journal Entries'!$C:$C,"&lt;="&amp;AM$8,'Journal Entries'!$C:$C,"&gt;"&amp;AL$8)</f>
        <v>0</v>
      </c>
      <c r="AN18" s="43">
        <f>SUMIFS('Journal Entries'!$L:$L,'Journal Entries'!$K:$K,$C18,'Journal Entries'!$C:$C,"&lt;="&amp;AN$8,'Journal Entries'!$C:$C,"&gt;"&amp;AM$8)</f>
        <v>0</v>
      </c>
      <c r="AO18" s="43">
        <f>SUMIFS('Journal Entries'!$L:$L,'Journal Entries'!$K:$K,$C18,'Journal Entries'!$C:$C,"&lt;="&amp;AO$8,'Journal Entries'!$C:$C,"&gt;"&amp;AN$8)</f>
        <v>0</v>
      </c>
      <c r="AP18" s="43">
        <f>SUMIFS('Journal Entries'!$L:$L,'Journal Entries'!$K:$K,$C18,'Journal Entries'!$C:$C,"&lt;="&amp;AP$8,'Journal Entries'!$C:$C,"&gt;"&amp;AO$8)</f>
        <v>0</v>
      </c>
      <c r="AQ18" s="43">
        <f>SUMIFS('Journal Entries'!$L:$L,'Journal Entries'!$K:$K,$C18,'Journal Entries'!$C:$C,"&lt;="&amp;AQ$8,'Journal Entries'!$C:$C,"&gt;"&amp;AP$8)</f>
        <v>0</v>
      </c>
      <c r="AR18" s="43">
        <f>SUMIFS('Journal Entries'!$L:$L,'Journal Entries'!$K:$K,$C18,'Journal Entries'!$C:$C,"&lt;="&amp;AR$8,'Journal Entries'!$C:$C,"&gt;"&amp;AQ$8)</f>
        <v>0</v>
      </c>
      <c r="AS18" s="43">
        <f>SUMIFS('Journal Entries'!$L:$L,'Journal Entries'!$K:$K,$C18,'Journal Entries'!$C:$C,"&lt;="&amp;AS$8,'Journal Entries'!$C:$C,"&gt;"&amp;AR$8)</f>
        <v>0</v>
      </c>
      <c r="AT18" s="43">
        <f>SUMIFS('Journal Entries'!$L:$L,'Journal Entries'!$K:$K,$C18,'Journal Entries'!$C:$C,"&lt;="&amp;AT$8,'Journal Entries'!$C:$C,"&gt;"&amp;AS$8)</f>
        <v>0</v>
      </c>
      <c r="AU18" s="43">
        <f>SUMIFS('Journal Entries'!$L:$L,'Journal Entries'!$K:$K,$C18,'Journal Entries'!$C:$C,"&lt;="&amp;AU$8,'Journal Entries'!$C:$C,"&gt;"&amp;AT$8)</f>
        <v>0</v>
      </c>
      <c r="AV18" s="43">
        <f>SUMIFS('Journal Entries'!$L:$L,'Journal Entries'!$K:$K,$C18,'Journal Entries'!$C:$C,"&lt;="&amp;AV$8,'Journal Entries'!$C:$C,"&gt;"&amp;AU$8)</f>
        <v>0</v>
      </c>
      <c r="AW18" s="43">
        <f>SUMIFS('Journal Entries'!$L:$L,'Journal Entries'!$K:$K,$C18,'Journal Entries'!$C:$C,"&lt;="&amp;AW$8,'Journal Entries'!$C:$C,"&gt;"&amp;AV$8)</f>
        <v>0</v>
      </c>
      <c r="AX18" s="43">
        <f>SUMIFS('Journal Entries'!$L:$L,'Journal Entries'!$K:$K,$C18,'Journal Entries'!$C:$C,"&lt;="&amp;AX$8,'Journal Entries'!$C:$C,"&gt;"&amp;AW$8)</f>
        <v>0</v>
      </c>
      <c r="AY18" s="43">
        <f>SUMIFS('Journal Entries'!$L:$L,'Journal Entries'!$K:$K,$C18,'Journal Entries'!$C:$C,"&lt;="&amp;AY$8,'Journal Entries'!$C:$C,"&gt;"&amp;AX$8)</f>
        <v>0</v>
      </c>
      <c r="AZ18" s="43">
        <f>SUMIFS('Journal Entries'!$L:$L,'Journal Entries'!$K:$K,$C18,'Journal Entries'!$C:$C,"&lt;="&amp;AZ$8,'Journal Entries'!$C:$C,"&gt;"&amp;AY$8)</f>
        <v>0</v>
      </c>
      <c r="BA18" s="43">
        <f>SUMIFS('Journal Entries'!$L:$L,'Journal Entries'!$K:$K,$C18,'Journal Entries'!$C:$C,"&lt;="&amp;BA$8,'Journal Entries'!$C:$C,"&gt;"&amp;AZ$8)</f>
        <v>0</v>
      </c>
      <c r="BB18" s="43">
        <f>SUMIFS('Journal Entries'!$L:$L,'Journal Entries'!$K:$K,$C18,'Journal Entries'!$C:$C,"&lt;="&amp;BB$8,'Journal Entries'!$C:$C,"&gt;"&amp;BA$8)</f>
        <v>0</v>
      </c>
      <c r="BC18" s="43">
        <f>SUMIFS('Journal Entries'!$L:$L,'Journal Entries'!$K:$K,$C18,'Journal Entries'!$C:$C,"&lt;="&amp;BC$8,'Journal Entries'!$C:$C,"&gt;"&amp;BB$8)</f>
        <v>0</v>
      </c>
      <c r="BD18" s="43">
        <f>SUMIFS('Journal Entries'!$L:$L,'Journal Entries'!$K:$K,$C18,'Journal Entries'!$C:$C,"&lt;="&amp;BD$8,'Journal Entries'!$C:$C,"&gt;"&amp;BC$8)</f>
        <v>0</v>
      </c>
      <c r="BE18" s="43">
        <f>SUMIFS('Journal Entries'!$L:$L,'Journal Entries'!$K:$K,$C18,'Journal Entries'!$C:$C,"&lt;="&amp;BE$8,'Journal Entries'!$C:$C,"&gt;"&amp;BD$8)</f>
        <v>0</v>
      </c>
      <c r="BF18" s="43">
        <f>SUMIFS('Journal Entries'!$L:$L,'Journal Entries'!$K:$K,$C18,'Journal Entries'!$C:$C,"&lt;="&amp;BF$8,'Journal Entries'!$C:$C,"&gt;"&amp;BE$8)</f>
        <v>0</v>
      </c>
      <c r="BG18" s="43">
        <f>SUMIFS('Journal Entries'!$L:$L,'Journal Entries'!$K:$K,$C18,'Journal Entries'!$C:$C,"&lt;="&amp;BG$8,'Journal Entries'!$C:$C,"&gt;"&amp;BF$8)</f>
        <v>0</v>
      </c>
      <c r="BH18" s="43">
        <f>SUMIFS('Journal Entries'!$L:$L,'Journal Entries'!$K:$K,$C18,'Journal Entries'!$C:$C,"&lt;="&amp;BH$8,'Journal Entries'!$C:$C,"&gt;"&amp;BG$8)</f>
        <v>0</v>
      </c>
      <c r="BI18" s="43">
        <f>SUMIFS('Journal Entries'!$L:$L,'Journal Entries'!$K:$K,$C18,'Journal Entries'!$C:$C,"&lt;="&amp;BI$8,'Journal Entries'!$C:$C,"&gt;"&amp;BH$8)</f>
        <v>0</v>
      </c>
      <c r="BJ18" s="43">
        <f>SUMIFS('Journal Entries'!$L:$L,'Journal Entries'!$K:$K,$C18,'Journal Entries'!$C:$C,"&lt;="&amp;BJ$8,'Journal Entries'!$C:$C,"&gt;"&amp;BI$8)</f>
        <v>0</v>
      </c>
      <c r="BK18" s="43">
        <f>SUMIFS('Journal Entries'!$L:$L,'Journal Entries'!$K:$K,$C18,'Journal Entries'!$C:$C,"&lt;="&amp;BK$8,'Journal Entries'!$C:$C,"&gt;"&amp;BJ$8)</f>
        <v>0</v>
      </c>
      <c r="BL18" s="43">
        <f>SUMIFS('Journal Entries'!$L:$L,'Journal Entries'!$K:$K,$C18,'Journal Entries'!$C:$C,"&lt;="&amp;BL$8,'Journal Entries'!$C:$C,"&gt;"&amp;BK$8)</f>
        <v>0</v>
      </c>
    </row>
    <row r="19" spans="2:64" x14ac:dyDescent="0.25">
      <c r="B19" s="10">
        <v>1090</v>
      </c>
      <c r="C19" s="10" t="str">
        <f>VLOOKUP(B19,'Chart of Accounts'!$B$3:$C$95,2,0)</f>
        <v>Other assets</v>
      </c>
      <c r="D19" s="525">
        <f t="shared" si="2"/>
        <v>0</v>
      </c>
      <c r="E19" s="43">
        <f>SUMIFS('Journal Entries'!$L:$L,'Journal Entries'!$K:$K,$C19,'Journal Entries'!$C:$C,"&lt;="&amp;E$8,'Journal Entries'!$C:$C,"&gt;"&amp;D$8)</f>
        <v>0</v>
      </c>
      <c r="F19" s="43">
        <f>SUMIFS('Journal Entries'!$L:$L,'Journal Entries'!$K:$K,$C19,'Journal Entries'!$C:$C,"&lt;="&amp;F$8,'Journal Entries'!$C:$C,"&gt;"&amp;E$8)</f>
        <v>0</v>
      </c>
      <c r="G19" s="43">
        <f>SUMIFS('Journal Entries'!$L:$L,'Journal Entries'!$K:$K,$C19,'Journal Entries'!$C:$C,"&lt;="&amp;G$8,'Journal Entries'!$C:$C,"&gt;"&amp;F$8)</f>
        <v>0</v>
      </c>
      <c r="H19" s="43">
        <f>SUMIFS('Journal Entries'!$L:$L,'Journal Entries'!$K:$K,$C19,'Journal Entries'!$C:$C,"&lt;="&amp;H$8,'Journal Entries'!$C:$C,"&gt;"&amp;G$8)</f>
        <v>0</v>
      </c>
      <c r="I19" s="43">
        <f>SUMIFS('Journal Entries'!$L:$L,'Journal Entries'!$K:$K,$C19,'Journal Entries'!$C:$C,"&lt;="&amp;I$8,'Journal Entries'!$C:$C,"&gt;"&amp;H$8)</f>
        <v>0</v>
      </c>
      <c r="J19" s="43">
        <f>SUMIFS('Journal Entries'!$L:$L,'Journal Entries'!$K:$K,$C19,'Journal Entries'!$C:$C,"&lt;="&amp;J$8,'Journal Entries'!$C:$C,"&gt;"&amp;I$8)</f>
        <v>0</v>
      </c>
      <c r="K19" s="43">
        <f>SUMIFS('Journal Entries'!$L:$L,'Journal Entries'!$K:$K,$C19,'Journal Entries'!$C:$C,"&lt;="&amp;K$8,'Journal Entries'!$C:$C,"&gt;"&amp;J$8)</f>
        <v>0</v>
      </c>
      <c r="L19" s="43">
        <f>SUMIFS('Journal Entries'!$L:$L,'Journal Entries'!$K:$K,$C19,'Journal Entries'!$C:$C,"&lt;="&amp;L$8,'Journal Entries'!$C:$C,"&gt;"&amp;K$8)</f>
        <v>0</v>
      </c>
      <c r="M19" s="43">
        <f>SUMIFS('Journal Entries'!$L:$L,'Journal Entries'!$K:$K,$C19,'Journal Entries'!$C:$C,"&lt;="&amp;M$8,'Journal Entries'!$C:$C,"&gt;"&amp;L$8)</f>
        <v>0</v>
      </c>
      <c r="N19" s="43">
        <f>SUMIFS('Journal Entries'!$L:$L,'Journal Entries'!$K:$K,$C19,'Journal Entries'!$C:$C,"&lt;="&amp;N$8,'Journal Entries'!$C:$C,"&gt;"&amp;M$8)</f>
        <v>0</v>
      </c>
      <c r="O19" s="43">
        <f>SUMIFS('Journal Entries'!$L:$L,'Journal Entries'!$K:$K,$C19,'Journal Entries'!$C:$C,"&lt;="&amp;O$8,'Journal Entries'!$C:$C,"&gt;"&amp;N$8)</f>
        <v>0</v>
      </c>
      <c r="P19" s="43">
        <f>SUMIFS('Journal Entries'!$L:$L,'Journal Entries'!$K:$K,$C19,'Journal Entries'!$C:$C,"&lt;="&amp;P$8,'Journal Entries'!$C:$C,"&gt;"&amp;O$8)</f>
        <v>0</v>
      </c>
      <c r="Q19" s="43">
        <f>SUMIFS('Journal Entries'!$L:$L,'Journal Entries'!$K:$K,$C19,'Journal Entries'!$C:$C,"&lt;="&amp;Q$8,'Journal Entries'!$C:$C,"&gt;"&amp;P$8)</f>
        <v>0</v>
      </c>
      <c r="R19" s="43">
        <f>SUMIFS('Journal Entries'!$L:$L,'Journal Entries'!$K:$K,$C19,'Journal Entries'!$C:$C,"&lt;="&amp;R$8,'Journal Entries'!$C:$C,"&gt;"&amp;Q$8)</f>
        <v>0</v>
      </c>
      <c r="S19" s="43">
        <f>SUMIFS('Journal Entries'!$L:$L,'Journal Entries'!$K:$K,$C19,'Journal Entries'!$C:$C,"&lt;="&amp;S$8,'Journal Entries'!$C:$C,"&gt;"&amp;R$8)</f>
        <v>0</v>
      </c>
      <c r="T19" s="43">
        <f>SUMIFS('Journal Entries'!$L:$L,'Journal Entries'!$K:$K,$C19,'Journal Entries'!$C:$C,"&lt;="&amp;T$8,'Journal Entries'!$C:$C,"&gt;"&amp;S$8)</f>
        <v>0</v>
      </c>
      <c r="U19" s="43">
        <f>SUMIFS('Journal Entries'!$L:$L,'Journal Entries'!$K:$K,$C19,'Journal Entries'!$C:$C,"&lt;="&amp;U$8,'Journal Entries'!$C:$C,"&gt;"&amp;T$8)</f>
        <v>0</v>
      </c>
      <c r="V19" s="43">
        <f>SUMIFS('Journal Entries'!$L:$L,'Journal Entries'!$K:$K,$C19,'Journal Entries'!$C:$C,"&lt;="&amp;V$8,'Journal Entries'!$C:$C,"&gt;"&amp;U$8)</f>
        <v>0</v>
      </c>
      <c r="W19" s="43">
        <f>SUMIFS('Journal Entries'!$L:$L,'Journal Entries'!$K:$K,$C19,'Journal Entries'!$C:$C,"&lt;="&amp;W$8,'Journal Entries'!$C:$C,"&gt;"&amp;V$8)</f>
        <v>0</v>
      </c>
      <c r="X19" s="43">
        <f>SUMIFS('Journal Entries'!$L:$L,'Journal Entries'!$K:$K,$C19,'Journal Entries'!$C:$C,"&lt;="&amp;X$8,'Journal Entries'!$C:$C,"&gt;"&amp;W$8)</f>
        <v>0</v>
      </c>
      <c r="Y19" s="43">
        <f>SUMIFS('Journal Entries'!$L:$L,'Journal Entries'!$K:$K,$C19,'Journal Entries'!$C:$C,"&lt;="&amp;Y$8,'Journal Entries'!$C:$C,"&gt;"&amp;X$8)</f>
        <v>0</v>
      </c>
      <c r="Z19" s="43">
        <f>SUMIFS('Journal Entries'!$L:$L,'Journal Entries'!$K:$K,$C19,'Journal Entries'!$C:$C,"&lt;="&amp;Z$8,'Journal Entries'!$C:$C,"&gt;"&amp;Y$8)</f>
        <v>0</v>
      </c>
      <c r="AA19" s="43">
        <f>SUMIFS('Journal Entries'!$L:$L,'Journal Entries'!$K:$K,$C19,'Journal Entries'!$C:$C,"&lt;="&amp;AA$8,'Journal Entries'!$C:$C,"&gt;"&amp;Z$8)</f>
        <v>0</v>
      </c>
      <c r="AB19" s="43">
        <f>SUMIFS('Journal Entries'!$L:$L,'Journal Entries'!$K:$K,$C19,'Journal Entries'!$C:$C,"&lt;="&amp;AB$8,'Journal Entries'!$C:$C,"&gt;"&amp;AA$8)</f>
        <v>0</v>
      </c>
      <c r="AC19" s="43">
        <f>SUMIFS('Journal Entries'!$L:$L,'Journal Entries'!$K:$K,$C19,'Journal Entries'!$C:$C,"&lt;="&amp;AC$8,'Journal Entries'!$C:$C,"&gt;"&amp;AB$8)</f>
        <v>0</v>
      </c>
      <c r="AD19" s="43">
        <f>SUMIFS('Journal Entries'!$L:$L,'Journal Entries'!$K:$K,$C19,'Journal Entries'!$C:$C,"&lt;="&amp;AD$8,'Journal Entries'!$C:$C,"&gt;"&amp;AC$8)</f>
        <v>0</v>
      </c>
      <c r="AE19" s="43">
        <f>SUMIFS('Journal Entries'!$L:$L,'Journal Entries'!$K:$K,$C19,'Journal Entries'!$C:$C,"&lt;="&amp;AE$8,'Journal Entries'!$C:$C,"&gt;"&amp;AD$8)</f>
        <v>0</v>
      </c>
      <c r="AF19" s="43">
        <f>SUMIFS('Journal Entries'!$L:$L,'Journal Entries'!$K:$K,$C19,'Journal Entries'!$C:$C,"&lt;="&amp;AF$8,'Journal Entries'!$C:$C,"&gt;"&amp;AE$8)</f>
        <v>0</v>
      </c>
      <c r="AG19" s="43">
        <f>SUMIFS('Journal Entries'!$L:$L,'Journal Entries'!$K:$K,$C19,'Journal Entries'!$C:$C,"&lt;="&amp;AG$8,'Journal Entries'!$C:$C,"&gt;"&amp;AF$8)</f>
        <v>0</v>
      </c>
      <c r="AH19" s="43">
        <f>SUMIFS('Journal Entries'!$L:$L,'Journal Entries'!$K:$K,$C19,'Journal Entries'!$C:$C,"&lt;="&amp;AH$8,'Journal Entries'!$C:$C,"&gt;"&amp;AG$8)</f>
        <v>0</v>
      </c>
      <c r="AI19" s="43">
        <f>SUMIFS('Journal Entries'!$L:$L,'Journal Entries'!$K:$K,$C19,'Journal Entries'!$C:$C,"&lt;="&amp;AI$8,'Journal Entries'!$C:$C,"&gt;"&amp;AH$8)</f>
        <v>0</v>
      </c>
      <c r="AJ19" s="43">
        <f>SUMIFS('Journal Entries'!$L:$L,'Journal Entries'!$K:$K,$C19,'Journal Entries'!$C:$C,"&lt;="&amp;AJ$8,'Journal Entries'!$C:$C,"&gt;"&amp;AI$8)</f>
        <v>0</v>
      </c>
      <c r="AK19" s="43">
        <f>SUMIFS('Journal Entries'!$L:$L,'Journal Entries'!$K:$K,$C19,'Journal Entries'!$C:$C,"&lt;="&amp;AK$8,'Journal Entries'!$C:$C,"&gt;"&amp;AJ$8)</f>
        <v>0</v>
      </c>
      <c r="AL19" s="43">
        <f>SUMIFS('Journal Entries'!$L:$L,'Journal Entries'!$K:$K,$C19,'Journal Entries'!$C:$C,"&lt;="&amp;AL$8,'Journal Entries'!$C:$C,"&gt;"&amp;AK$8)</f>
        <v>0</v>
      </c>
      <c r="AM19" s="43">
        <f>SUMIFS('Journal Entries'!$L:$L,'Journal Entries'!$K:$K,$C19,'Journal Entries'!$C:$C,"&lt;="&amp;AM$8,'Journal Entries'!$C:$C,"&gt;"&amp;AL$8)</f>
        <v>0</v>
      </c>
      <c r="AN19" s="43">
        <f>SUMIFS('Journal Entries'!$L:$L,'Journal Entries'!$K:$K,$C19,'Journal Entries'!$C:$C,"&lt;="&amp;AN$8,'Journal Entries'!$C:$C,"&gt;"&amp;AM$8)</f>
        <v>0</v>
      </c>
      <c r="AO19" s="43">
        <f>SUMIFS('Journal Entries'!$L:$L,'Journal Entries'!$K:$K,$C19,'Journal Entries'!$C:$C,"&lt;="&amp;AO$8,'Journal Entries'!$C:$C,"&gt;"&amp;AN$8)</f>
        <v>0</v>
      </c>
      <c r="AP19" s="43">
        <f>SUMIFS('Journal Entries'!$L:$L,'Journal Entries'!$K:$K,$C19,'Journal Entries'!$C:$C,"&lt;="&amp;AP$8,'Journal Entries'!$C:$C,"&gt;"&amp;AO$8)</f>
        <v>0</v>
      </c>
      <c r="AQ19" s="43">
        <f>SUMIFS('Journal Entries'!$L:$L,'Journal Entries'!$K:$K,$C19,'Journal Entries'!$C:$C,"&lt;="&amp;AQ$8,'Journal Entries'!$C:$C,"&gt;"&amp;AP$8)</f>
        <v>0</v>
      </c>
      <c r="AR19" s="43">
        <f>SUMIFS('Journal Entries'!$L:$L,'Journal Entries'!$K:$K,$C19,'Journal Entries'!$C:$C,"&lt;="&amp;AR$8,'Journal Entries'!$C:$C,"&gt;"&amp;AQ$8)</f>
        <v>0</v>
      </c>
      <c r="AS19" s="43">
        <f>SUMIFS('Journal Entries'!$L:$L,'Journal Entries'!$K:$K,$C19,'Journal Entries'!$C:$C,"&lt;="&amp;AS$8,'Journal Entries'!$C:$C,"&gt;"&amp;AR$8)</f>
        <v>0</v>
      </c>
      <c r="AT19" s="43">
        <f>SUMIFS('Journal Entries'!$L:$L,'Journal Entries'!$K:$K,$C19,'Journal Entries'!$C:$C,"&lt;="&amp;AT$8,'Journal Entries'!$C:$C,"&gt;"&amp;AS$8)</f>
        <v>0</v>
      </c>
      <c r="AU19" s="43">
        <f>SUMIFS('Journal Entries'!$L:$L,'Journal Entries'!$K:$K,$C19,'Journal Entries'!$C:$C,"&lt;="&amp;AU$8,'Journal Entries'!$C:$C,"&gt;"&amp;AT$8)</f>
        <v>0</v>
      </c>
      <c r="AV19" s="43">
        <f>SUMIFS('Journal Entries'!$L:$L,'Journal Entries'!$K:$K,$C19,'Journal Entries'!$C:$C,"&lt;="&amp;AV$8,'Journal Entries'!$C:$C,"&gt;"&amp;AU$8)</f>
        <v>0</v>
      </c>
      <c r="AW19" s="43">
        <f>SUMIFS('Journal Entries'!$L:$L,'Journal Entries'!$K:$K,$C19,'Journal Entries'!$C:$C,"&lt;="&amp;AW$8,'Journal Entries'!$C:$C,"&gt;"&amp;AV$8)</f>
        <v>0</v>
      </c>
      <c r="AX19" s="43">
        <f>SUMIFS('Journal Entries'!$L:$L,'Journal Entries'!$K:$K,$C19,'Journal Entries'!$C:$C,"&lt;="&amp;AX$8,'Journal Entries'!$C:$C,"&gt;"&amp;AW$8)</f>
        <v>0</v>
      </c>
      <c r="AY19" s="43">
        <f>SUMIFS('Journal Entries'!$L:$L,'Journal Entries'!$K:$K,$C19,'Journal Entries'!$C:$C,"&lt;="&amp;AY$8,'Journal Entries'!$C:$C,"&gt;"&amp;AX$8)</f>
        <v>0</v>
      </c>
      <c r="AZ19" s="43">
        <f>SUMIFS('Journal Entries'!$L:$L,'Journal Entries'!$K:$K,$C19,'Journal Entries'!$C:$C,"&lt;="&amp;AZ$8,'Journal Entries'!$C:$C,"&gt;"&amp;AY$8)</f>
        <v>0</v>
      </c>
      <c r="BA19" s="43">
        <f>SUMIFS('Journal Entries'!$L:$L,'Journal Entries'!$K:$K,$C19,'Journal Entries'!$C:$C,"&lt;="&amp;BA$8,'Journal Entries'!$C:$C,"&gt;"&amp;AZ$8)</f>
        <v>0</v>
      </c>
      <c r="BB19" s="43">
        <f>SUMIFS('Journal Entries'!$L:$L,'Journal Entries'!$K:$K,$C19,'Journal Entries'!$C:$C,"&lt;="&amp;BB$8,'Journal Entries'!$C:$C,"&gt;"&amp;BA$8)</f>
        <v>0</v>
      </c>
      <c r="BC19" s="43">
        <f>SUMIFS('Journal Entries'!$L:$L,'Journal Entries'!$K:$K,$C19,'Journal Entries'!$C:$C,"&lt;="&amp;BC$8,'Journal Entries'!$C:$C,"&gt;"&amp;BB$8)</f>
        <v>0</v>
      </c>
      <c r="BD19" s="43">
        <f>SUMIFS('Journal Entries'!$L:$L,'Journal Entries'!$K:$K,$C19,'Journal Entries'!$C:$C,"&lt;="&amp;BD$8,'Journal Entries'!$C:$C,"&gt;"&amp;BC$8)</f>
        <v>0</v>
      </c>
      <c r="BE19" s="43">
        <f>SUMIFS('Journal Entries'!$L:$L,'Journal Entries'!$K:$K,$C19,'Journal Entries'!$C:$C,"&lt;="&amp;BE$8,'Journal Entries'!$C:$C,"&gt;"&amp;BD$8)</f>
        <v>0</v>
      </c>
      <c r="BF19" s="43">
        <f>SUMIFS('Journal Entries'!$L:$L,'Journal Entries'!$K:$K,$C19,'Journal Entries'!$C:$C,"&lt;="&amp;BF$8,'Journal Entries'!$C:$C,"&gt;"&amp;BE$8)</f>
        <v>0</v>
      </c>
      <c r="BG19" s="43">
        <f>SUMIFS('Journal Entries'!$L:$L,'Journal Entries'!$K:$K,$C19,'Journal Entries'!$C:$C,"&lt;="&amp;BG$8,'Journal Entries'!$C:$C,"&gt;"&amp;BF$8)</f>
        <v>0</v>
      </c>
      <c r="BH19" s="43">
        <f>SUMIFS('Journal Entries'!$L:$L,'Journal Entries'!$K:$K,$C19,'Journal Entries'!$C:$C,"&lt;="&amp;BH$8,'Journal Entries'!$C:$C,"&gt;"&amp;BG$8)</f>
        <v>0</v>
      </c>
      <c r="BI19" s="43">
        <f>SUMIFS('Journal Entries'!$L:$L,'Journal Entries'!$K:$K,$C19,'Journal Entries'!$C:$C,"&lt;="&amp;BI$8,'Journal Entries'!$C:$C,"&gt;"&amp;BH$8)</f>
        <v>0</v>
      </c>
      <c r="BJ19" s="43">
        <f>SUMIFS('Journal Entries'!$L:$L,'Journal Entries'!$K:$K,$C19,'Journal Entries'!$C:$C,"&lt;="&amp;BJ$8,'Journal Entries'!$C:$C,"&gt;"&amp;BI$8)</f>
        <v>0</v>
      </c>
      <c r="BK19" s="43">
        <f>SUMIFS('Journal Entries'!$L:$L,'Journal Entries'!$K:$K,$C19,'Journal Entries'!$C:$C,"&lt;="&amp;BK$8,'Journal Entries'!$C:$C,"&gt;"&amp;BJ$8)</f>
        <v>0</v>
      </c>
      <c r="BL19" s="43">
        <f>SUMIFS('Journal Entries'!$L:$L,'Journal Entries'!$K:$K,$C19,'Journal Entries'!$C:$C,"&lt;="&amp;BL$8,'Journal Entries'!$C:$C,"&gt;"&amp;BK$8)</f>
        <v>0</v>
      </c>
    </row>
    <row r="20" spans="2:64" x14ac:dyDescent="0.25">
      <c r="B20" s="10">
        <v>1100</v>
      </c>
      <c r="C20" s="10" t="str">
        <f>VLOOKUP(B20,'Chart of Accounts'!$B$3:$C$95,2,0)</f>
        <v>Deferred tax asset</v>
      </c>
      <c r="D20" s="525">
        <f t="shared" si="2"/>
        <v>0</v>
      </c>
      <c r="E20" s="43">
        <f>SUMIFS('Journal Entries'!$L:$L,'Journal Entries'!$K:$K,$C20,'Journal Entries'!$C:$C,"&lt;="&amp;E$8,'Journal Entries'!$C:$C,"&gt;"&amp;D$8)</f>
        <v>0</v>
      </c>
      <c r="F20" s="43">
        <f>SUMIFS('Journal Entries'!$L:$L,'Journal Entries'!$K:$K,$C20,'Journal Entries'!$C:$C,"&lt;="&amp;F$8,'Journal Entries'!$C:$C,"&gt;"&amp;E$8)</f>
        <v>0</v>
      </c>
      <c r="G20" s="43">
        <f>SUMIFS('Journal Entries'!$L:$L,'Journal Entries'!$K:$K,$C20,'Journal Entries'!$C:$C,"&lt;="&amp;G$8,'Journal Entries'!$C:$C,"&gt;"&amp;F$8)</f>
        <v>0</v>
      </c>
      <c r="H20" s="43">
        <f>SUMIFS('Journal Entries'!$L:$L,'Journal Entries'!$K:$K,$C20,'Journal Entries'!$C:$C,"&lt;="&amp;H$8,'Journal Entries'!$C:$C,"&gt;"&amp;G$8)</f>
        <v>0</v>
      </c>
      <c r="I20" s="43">
        <f>SUMIFS('Journal Entries'!$L:$L,'Journal Entries'!$K:$K,$C20,'Journal Entries'!$C:$C,"&lt;="&amp;I$8,'Journal Entries'!$C:$C,"&gt;"&amp;H$8)</f>
        <v>0</v>
      </c>
      <c r="J20" s="43">
        <f>SUMIFS('Journal Entries'!$L:$L,'Journal Entries'!$K:$K,$C20,'Journal Entries'!$C:$C,"&lt;="&amp;J$8,'Journal Entries'!$C:$C,"&gt;"&amp;I$8)</f>
        <v>0</v>
      </c>
      <c r="K20" s="43">
        <f>SUMIFS('Journal Entries'!$L:$L,'Journal Entries'!$K:$K,$C20,'Journal Entries'!$C:$C,"&lt;="&amp;K$8,'Journal Entries'!$C:$C,"&gt;"&amp;J$8)</f>
        <v>0</v>
      </c>
      <c r="L20" s="43">
        <f>SUMIFS('Journal Entries'!$L:$L,'Journal Entries'!$K:$K,$C20,'Journal Entries'!$C:$C,"&lt;="&amp;L$8,'Journal Entries'!$C:$C,"&gt;"&amp;K$8)</f>
        <v>0</v>
      </c>
      <c r="M20" s="43">
        <f>SUMIFS('Journal Entries'!$L:$L,'Journal Entries'!$K:$K,$C20,'Journal Entries'!$C:$C,"&lt;="&amp;M$8,'Journal Entries'!$C:$C,"&gt;"&amp;L$8)</f>
        <v>0</v>
      </c>
      <c r="N20" s="43">
        <f>SUMIFS('Journal Entries'!$L:$L,'Journal Entries'!$K:$K,$C20,'Journal Entries'!$C:$C,"&lt;="&amp;N$8,'Journal Entries'!$C:$C,"&gt;"&amp;M$8)</f>
        <v>0</v>
      </c>
      <c r="O20" s="43">
        <f>SUMIFS('Journal Entries'!$L:$L,'Journal Entries'!$K:$K,$C20,'Journal Entries'!$C:$C,"&lt;="&amp;O$8,'Journal Entries'!$C:$C,"&gt;"&amp;N$8)</f>
        <v>0</v>
      </c>
      <c r="P20" s="43">
        <f>SUMIFS('Journal Entries'!$L:$L,'Journal Entries'!$K:$K,$C20,'Journal Entries'!$C:$C,"&lt;="&amp;P$8,'Journal Entries'!$C:$C,"&gt;"&amp;O$8)</f>
        <v>0</v>
      </c>
      <c r="Q20" s="43">
        <f>SUMIFS('Journal Entries'!$L:$L,'Journal Entries'!$K:$K,$C20,'Journal Entries'!$C:$C,"&lt;="&amp;Q$8,'Journal Entries'!$C:$C,"&gt;"&amp;P$8)</f>
        <v>0</v>
      </c>
      <c r="R20" s="43">
        <f>SUMIFS('Journal Entries'!$L:$L,'Journal Entries'!$K:$K,$C20,'Journal Entries'!$C:$C,"&lt;="&amp;R$8,'Journal Entries'!$C:$C,"&gt;"&amp;Q$8)</f>
        <v>0</v>
      </c>
      <c r="S20" s="43">
        <f>SUMIFS('Journal Entries'!$L:$L,'Journal Entries'!$K:$K,$C20,'Journal Entries'!$C:$C,"&lt;="&amp;S$8,'Journal Entries'!$C:$C,"&gt;"&amp;R$8)</f>
        <v>0</v>
      </c>
      <c r="T20" s="43">
        <f>SUMIFS('Journal Entries'!$L:$L,'Journal Entries'!$K:$K,$C20,'Journal Entries'!$C:$C,"&lt;="&amp;T$8,'Journal Entries'!$C:$C,"&gt;"&amp;S$8)</f>
        <v>0</v>
      </c>
      <c r="U20" s="43">
        <f>SUMIFS('Journal Entries'!$L:$L,'Journal Entries'!$K:$K,$C20,'Journal Entries'!$C:$C,"&lt;="&amp;U$8,'Journal Entries'!$C:$C,"&gt;"&amp;T$8)</f>
        <v>0</v>
      </c>
      <c r="V20" s="43">
        <f>SUMIFS('Journal Entries'!$L:$L,'Journal Entries'!$K:$K,$C20,'Journal Entries'!$C:$C,"&lt;="&amp;V$8,'Journal Entries'!$C:$C,"&gt;"&amp;U$8)</f>
        <v>0</v>
      </c>
      <c r="W20" s="43">
        <f>SUMIFS('Journal Entries'!$L:$L,'Journal Entries'!$K:$K,$C20,'Journal Entries'!$C:$C,"&lt;="&amp;W$8,'Journal Entries'!$C:$C,"&gt;"&amp;V$8)</f>
        <v>0</v>
      </c>
      <c r="X20" s="43">
        <f>SUMIFS('Journal Entries'!$L:$L,'Journal Entries'!$K:$K,$C20,'Journal Entries'!$C:$C,"&lt;="&amp;X$8,'Journal Entries'!$C:$C,"&gt;"&amp;W$8)</f>
        <v>0</v>
      </c>
      <c r="Y20" s="43">
        <f>SUMIFS('Journal Entries'!$L:$L,'Journal Entries'!$K:$K,$C20,'Journal Entries'!$C:$C,"&lt;="&amp;Y$8,'Journal Entries'!$C:$C,"&gt;"&amp;X$8)</f>
        <v>0</v>
      </c>
      <c r="Z20" s="43">
        <f>SUMIFS('Journal Entries'!$L:$L,'Journal Entries'!$K:$K,$C20,'Journal Entries'!$C:$C,"&lt;="&amp;Z$8,'Journal Entries'!$C:$C,"&gt;"&amp;Y$8)</f>
        <v>0</v>
      </c>
      <c r="AA20" s="43">
        <f>SUMIFS('Journal Entries'!$L:$L,'Journal Entries'!$K:$K,$C20,'Journal Entries'!$C:$C,"&lt;="&amp;AA$8,'Journal Entries'!$C:$C,"&gt;"&amp;Z$8)</f>
        <v>0</v>
      </c>
      <c r="AB20" s="43">
        <f>SUMIFS('Journal Entries'!$L:$L,'Journal Entries'!$K:$K,$C20,'Journal Entries'!$C:$C,"&lt;="&amp;AB$8,'Journal Entries'!$C:$C,"&gt;"&amp;AA$8)</f>
        <v>0</v>
      </c>
      <c r="AC20" s="43">
        <f>SUMIFS('Journal Entries'!$L:$L,'Journal Entries'!$K:$K,$C20,'Journal Entries'!$C:$C,"&lt;="&amp;AC$8,'Journal Entries'!$C:$C,"&gt;"&amp;AB$8)</f>
        <v>0</v>
      </c>
      <c r="AD20" s="43">
        <f>SUMIFS('Journal Entries'!$L:$L,'Journal Entries'!$K:$K,$C20,'Journal Entries'!$C:$C,"&lt;="&amp;AD$8,'Journal Entries'!$C:$C,"&gt;"&amp;AC$8)</f>
        <v>0</v>
      </c>
      <c r="AE20" s="43">
        <f>SUMIFS('Journal Entries'!$L:$L,'Journal Entries'!$K:$K,$C20,'Journal Entries'!$C:$C,"&lt;="&amp;AE$8,'Journal Entries'!$C:$C,"&gt;"&amp;AD$8)</f>
        <v>0</v>
      </c>
      <c r="AF20" s="43">
        <f>SUMIFS('Journal Entries'!$L:$L,'Journal Entries'!$K:$K,$C20,'Journal Entries'!$C:$C,"&lt;="&amp;AF$8,'Journal Entries'!$C:$C,"&gt;"&amp;AE$8)</f>
        <v>0</v>
      </c>
      <c r="AG20" s="43">
        <f>SUMIFS('Journal Entries'!$L:$L,'Journal Entries'!$K:$K,$C20,'Journal Entries'!$C:$C,"&lt;="&amp;AG$8,'Journal Entries'!$C:$C,"&gt;"&amp;AF$8)</f>
        <v>0</v>
      </c>
      <c r="AH20" s="43">
        <f>SUMIFS('Journal Entries'!$L:$L,'Journal Entries'!$K:$K,$C20,'Journal Entries'!$C:$C,"&lt;="&amp;AH$8,'Journal Entries'!$C:$C,"&gt;"&amp;AG$8)</f>
        <v>0</v>
      </c>
      <c r="AI20" s="43">
        <f>SUMIFS('Journal Entries'!$L:$L,'Journal Entries'!$K:$K,$C20,'Journal Entries'!$C:$C,"&lt;="&amp;AI$8,'Journal Entries'!$C:$C,"&gt;"&amp;AH$8)</f>
        <v>0</v>
      </c>
      <c r="AJ20" s="43">
        <f>SUMIFS('Journal Entries'!$L:$L,'Journal Entries'!$K:$K,$C20,'Journal Entries'!$C:$C,"&lt;="&amp;AJ$8,'Journal Entries'!$C:$C,"&gt;"&amp;AI$8)</f>
        <v>0</v>
      </c>
      <c r="AK20" s="43">
        <f>SUMIFS('Journal Entries'!$L:$L,'Journal Entries'!$K:$K,$C20,'Journal Entries'!$C:$C,"&lt;="&amp;AK$8,'Journal Entries'!$C:$C,"&gt;"&amp;AJ$8)</f>
        <v>0</v>
      </c>
      <c r="AL20" s="43">
        <f>SUMIFS('Journal Entries'!$L:$L,'Journal Entries'!$K:$K,$C20,'Journal Entries'!$C:$C,"&lt;="&amp;AL$8,'Journal Entries'!$C:$C,"&gt;"&amp;AK$8)</f>
        <v>0</v>
      </c>
      <c r="AM20" s="43">
        <f>SUMIFS('Journal Entries'!$L:$L,'Journal Entries'!$K:$K,$C20,'Journal Entries'!$C:$C,"&lt;="&amp;AM$8,'Journal Entries'!$C:$C,"&gt;"&amp;AL$8)</f>
        <v>0</v>
      </c>
      <c r="AN20" s="43">
        <f>SUMIFS('Journal Entries'!$L:$L,'Journal Entries'!$K:$K,$C20,'Journal Entries'!$C:$C,"&lt;="&amp;AN$8,'Journal Entries'!$C:$C,"&gt;"&amp;AM$8)</f>
        <v>0</v>
      </c>
      <c r="AO20" s="43">
        <f>SUMIFS('Journal Entries'!$L:$L,'Journal Entries'!$K:$K,$C20,'Journal Entries'!$C:$C,"&lt;="&amp;AO$8,'Journal Entries'!$C:$C,"&gt;"&amp;AN$8)</f>
        <v>0</v>
      </c>
      <c r="AP20" s="43">
        <f>SUMIFS('Journal Entries'!$L:$L,'Journal Entries'!$K:$K,$C20,'Journal Entries'!$C:$C,"&lt;="&amp;AP$8,'Journal Entries'!$C:$C,"&gt;"&amp;AO$8)</f>
        <v>0</v>
      </c>
      <c r="AQ20" s="43">
        <f>SUMIFS('Journal Entries'!$L:$L,'Journal Entries'!$K:$K,$C20,'Journal Entries'!$C:$C,"&lt;="&amp;AQ$8,'Journal Entries'!$C:$C,"&gt;"&amp;AP$8)</f>
        <v>0</v>
      </c>
      <c r="AR20" s="43">
        <f>SUMIFS('Journal Entries'!$L:$L,'Journal Entries'!$K:$K,$C20,'Journal Entries'!$C:$C,"&lt;="&amp;AR$8,'Journal Entries'!$C:$C,"&gt;"&amp;AQ$8)</f>
        <v>0</v>
      </c>
      <c r="AS20" s="43">
        <f>SUMIFS('Journal Entries'!$L:$L,'Journal Entries'!$K:$K,$C20,'Journal Entries'!$C:$C,"&lt;="&amp;AS$8,'Journal Entries'!$C:$C,"&gt;"&amp;AR$8)</f>
        <v>0</v>
      </c>
      <c r="AT20" s="43">
        <f>SUMIFS('Journal Entries'!$L:$L,'Journal Entries'!$K:$K,$C20,'Journal Entries'!$C:$C,"&lt;="&amp;AT$8,'Journal Entries'!$C:$C,"&gt;"&amp;AS$8)</f>
        <v>0</v>
      </c>
      <c r="AU20" s="43">
        <f>SUMIFS('Journal Entries'!$L:$L,'Journal Entries'!$K:$K,$C20,'Journal Entries'!$C:$C,"&lt;="&amp;AU$8,'Journal Entries'!$C:$C,"&gt;"&amp;AT$8)</f>
        <v>0</v>
      </c>
      <c r="AV20" s="43">
        <f>SUMIFS('Journal Entries'!$L:$L,'Journal Entries'!$K:$K,$C20,'Journal Entries'!$C:$C,"&lt;="&amp;AV$8,'Journal Entries'!$C:$C,"&gt;"&amp;AU$8)</f>
        <v>0</v>
      </c>
      <c r="AW20" s="43">
        <f>SUMIFS('Journal Entries'!$L:$L,'Journal Entries'!$K:$K,$C20,'Journal Entries'!$C:$C,"&lt;="&amp;AW$8,'Journal Entries'!$C:$C,"&gt;"&amp;AV$8)</f>
        <v>0</v>
      </c>
      <c r="AX20" s="43">
        <f>SUMIFS('Journal Entries'!$L:$L,'Journal Entries'!$K:$K,$C20,'Journal Entries'!$C:$C,"&lt;="&amp;AX$8,'Journal Entries'!$C:$C,"&gt;"&amp;AW$8)</f>
        <v>0</v>
      </c>
      <c r="AY20" s="43">
        <f>SUMIFS('Journal Entries'!$L:$L,'Journal Entries'!$K:$K,$C20,'Journal Entries'!$C:$C,"&lt;="&amp;AY$8,'Journal Entries'!$C:$C,"&gt;"&amp;AX$8)</f>
        <v>0</v>
      </c>
      <c r="AZ20" s="43">
        <f>SUMIFS('Journal Entries'!$L:$L,'Journal Entries'!$K:$K,$C20,'Journal Entries'!$C:$C,"&lt;="&amp;AZ$8,'Journal Entries'!$C:$C,"&gt;"&amp;AY$8)</f>
        <v>0</v>
      </c>
      <c r="BA20" s="43">
        <f>SUMIFS('Journal Entries'!$L:$L,'Journal Entries'!$K:$K,$C20,'Journal Entries'!$C:$C,"&lt;="&amp;BA$8,'Journal Entries'!$C:$C,"&gt;"&amp;AZ$8)</f>
        <v>0</v>
      </c>
      <c r="BB20" s="43">
        <f>SUMIFS('Journal Entries'!$L:$L,'Journal Entries'!$K:$K,$C20,'Journal Entries'!$C:$C,"&lt;="&amp;BB$8,'Journal Entries'!$C:$C,"&gt;"&amp;BA$8)</f>
        <v>0</v>
      </c>
      <c r="BC20" s="43">
        <f>SUMIFS('Journal Entries'!$L:$L,'Journal Entries'!$K:$K,$C20,'Journal Entries'!$C:$C,"&lt;="&amp;BC$8,'Journal Entries'!$C:$C,"&gt;"&amp;BB$8)</f>
        <v>0</v>
      </c>
      <c r="BD20" s="43">
        <f>SUMIFS('Journal Entries'!$L:$L,'Journal Entries'!$K:$K,$C20,'Journal Entries'!$C:$C,"&lt;="&amp;BD$8,'Journal Entries'!$C:$C,"&gt;"&amp;BC$8)</f>
        <v>0</v>
      </c>
      <c r="BE20" s="43">
        <f>SUMIFS('Journal Entries'!$L:$L,'Journal Entries'!$K:$K,$C20,'Journal Entries'!$C:$C,"&lt;="&amp;BE$8,'Journal Entries'!$C:$C,"&gt;"&amp;BD$8)</f>
        <v>0</v>
      </c>
      <c r="BF20" s="43">
        <f>SUMIFS('Journal Entries'!$L:$L,'Journal Entries'!$K:$K,$C20,'Journal Entries'!$C:$C,"&lt;="&amp;BF$8,'Journal Entries'!$C:$C,"&gt;"&amp;BE$8)</f>
        <v>0</v>
      </c>
      <c r="BG20" s="43">
        <f>SUMIFS('Journal Entries'!$L:$L,'Journal Entries'!$K:$K,$C20,'Journal Entries'!$C:$C,"&lt;="&amp;BG$8,'Journal Entries'!$C:$C,"&gt;"&amp;BF$8)</f>
        <v>0</v>
      </c>
      <c r="BH20" s="43">
        <f>SUMIFS('Journal Entries'!$L:$L,'Journal Entries'!$K:$K,$C20,'Journal Entries'!$C:$C,"&lt;="&amp;BH$8,'Journal Entries'!$C:$C,"&gt;"&amp;BG$8)</f>
        <v>0</v>
      </c>
      <c r="BI20" s="43">
        <f>SUMIFS('Journal Entries'!$L:$L,'Journal Entries'!$K:$K,$C20,'Journal Entries'!$C:$C,"&lt;="&amp;BI$8,'Journal Entries'!$C:$C,"&gt;"&amp;BH$8)</f>
        <v>0</v>
      </c>
      <c r="BJ20" s="43">
        <f>SUMIFS('Journal Entries'!$L:$L,'Journal Entries'!$K:$K,$C20,'Journal Entries'!$C:$C,"&lt;="&amp;BJ$8,'Journal Entries'!$C:$C,"&gt;"&amp;BI$8)</f>
        <v>0</v>
      </c>
      <c r="BK20" s="43">
        <f>SUMIFS('Journal Entries'!$L:$L,'Journal Entries'!$K:$K,$C20,'Journal Entries'!$C:$C,"&lt;="&amp;BK$8,'Journal Entries'!$C:$C,"&gt;"&amp;BJ$8)</f>
        <v>0</v>
      </c>
      <c r="BL20" s="43">
        <f>SUMIFS('Journal Entries'!$L:$L,'Journal Entries'!$K:$K,$C20,'Journal Entries'!$C:$C,"&lt;="&amp;BL$8,'Journal Entries'!$C:$C,"&gt;"&amp;BK$8)</f>
        <v>0</v>
      </c>
    </row>
    <row r="21" spans="2:64" x14ac:dyDescent="0.25">
      <c r="B21" s="10">
        <v>1110</v>
      </c>
      <c r="C21" s="10" t="str">
        <f>VLOOKUP(B21,'Chart of Accounts'!$B$3:$C$95,2,0)</f>
        <v>Derivatives and financial instruments</v>
      </c>
      <c r="D21" s="525">
        <f t="shared" si="2"/>
        <v>0</v>
      </c>
      <c r="E21" s="43">
        <f>SUMIFS('Journal Entries'!$L:$L,'Journal Entries'!$K:$K,$C21,'Journal Entries'!$C:$C,"&lt;="&amp;E$8,'Journal Entries'!$C:$C,"&gt;"&amp;D$8)</f>
        <v>0</v>
      </c>
      <c r="F21" s="43">
        <f>SUMIFS('Journal Entries'!$L:$L,'Journal Entries'!$K:$K,$C21,'Journal Entries'!$C:$C,"&lt;="&amp;F$8,'Journal Entries'!$C:$C,"&gt;"&amp;E$8)</f>
        <v>0</v>
      </c>
      <c r="G21" s="43">
        <f>SUMIFS('Journal Entries'!$L:$L,'Journal Entries'!$K:$K,$C21,'Journal Entries'!$C:$C,"&lt;="&amp;G$8,'Journal Entries'!$C:$C,"&gt;"&amp;F$8)</f>
        <v>0</v>
      </c>
      <c r="H21" s="43">
        <f>SUMIFS('Journal Entries'!$L:$L,'Journal Entries'!$K:$K,$C21,'Journal Entries'!$C:$C,"&lt;="&amp;H$8,'Journal Entries'!$C:$C,"&gt;"&amp;G$8)</f>
        <v>0</v>
      </c>
      <c r="I21" s="43">
        <f>SUMIFS('Journal Entries'!$L:$L,'Journal Entries'!$K:$K,$C21,'Journal Entries'!$C:$C,"&lt;="&amp;I$8,'Journal Entries'!$C:$C,"&gt;"&amp;H$8)</f>
        <v>0</v>
      </c>
      <c r="J21" s="43">
        <f>SUMIFS('Journal Entries'!$L:$L,'Journal Entries'!$K:$K,$C21,'Journal Entries'!$C:$C,"&lt;="&amp;J$8,'Journal Entries'!$C:$C,"&gt;"&amp;I$8)</f>
        <v>0</v>
      </c>
      <c r="K21" s="43">
        <f>SUMIFS('Journal Entries'!$L:$L,'Journal Entries'!$K:$K,$C21,'Journal Entries'!$C:$C,"&lt;="&amp;K$8,'Journal Entries'!$C:$C,"&gt;"&amp;J$8)</f>
        <v>0</v>
      </c>
      <c r="L21" s="43">
        <f>SUMIFS('Journal Entries'!$L:$L,'Journal Entries'!$K:$K,$C21,'Journal Entries'!$C:$C,"&lt;="&amp;L$8,'Journal Entries'!$C:$C,"&gt;"&amp;K$8)</f>
        <v>0</v>
      </c>
      <c r="M21" s="43">
        <f>SUMIFS('Journal Entries'!$L:$L,'Journal Entries'!$K:$K,$C21,'Journal Entries'!$C:$C,"&lt;="&amp;M$8,'Journal Entries'!$C:$C,"&gt;"&amp;L$8)</f>
        <v>0</v>
      </c>
      <c r="N21" s="43">
        <f>SUMIFS('Journal Entries'!$L:$L,'Journal Entries'!$K:$K,$C21,'Journal Entries'!$C:$C,"&lt;="&amp;N$8,'Journal Entries'!$C:$C,"&gt;"&amp;M$8)</f>
        <v>0</v>
      </c>
      <c r="O21" s="43">
        <f>SUMIFS('Journal Entries'!$L:$L,'Journal Entries'!$K:$K,$C21,'Journal Entries'!$C:$C,"&lt;="&amp;O$8,'Journal Entries'!$C:$C,"&gt;"&amp;N$8)</f>
        <v>0</v>
      </c>
      <c r="P21" s="43">
        <f>SUMIFS('Journal Entries'!$L:$L,'Journal Entries'!$K:$K,$C21,'Journal Entries'!$C:$C,"&lt;="&amp;P$8,'Journal Entries'!$C:$C,"&gt;"&amp;O$8)</f>
        <v>0</v>
      </c>
      <c r="Q21" s="43">
        <f>SUMIFS('Journal Entries'!$L:$L,'Journal Entries'!$K:$K,$C21,'Journal Entries'!$C:$C,"&lt;="&amp;Q$8,'Journal Entries'!$C:$C,"&gt;"&amp;P$8)</f>
        <v>0</v>
      </c>
      <c r="R21" s="43">
        <f>SUMIFS('Journal Entries'!$L:$L,'Journal Entries'!$K:$K,$C21,'Journal Entries'!$C:$C,"&lt;="&amp;R$8,'Journal Entries'!$C:$C,"&gt;"&amp;Q$8)</f>
        <v>0</v>
      </c>
      <c r="S21" s="43">
        <f>SUMIFS('Journal Entries'!$L:$L,'Journal Entries'!$K:$K,$C21,'Journal Entries'!$C:$C,"&lt;="&amp;S$8,'Journal Entries'!$C:$C,"&gt;"&amp;R$8)</f>
        <v>0</v>
      </c>
      <c r="T21" s="43">
        <f>SUMIFS('Journal Entries'!$L:$L,'Journal Entries'!$K:$K,$C21,'Journal Entries'!$C:$C,"&lt;="&amp;T$8,'Journal Entries'!$C:$C,"&gt;"&amp;S$8)</f>
        <v>0</v>
      </c>
      <c r="U21" s="43">
        <f>SUMIFS('Journal Entries'!$L:$L,'Journal Entries'!$K:$K,$C21,'Journal Entries'!$C:$C,"&lt;="&amp;U$8,'Journal Entries'!$C:$C,"&gt;"&amp;T$8)</f>
        <v>0</v>
      </c>
      <c r="V21" s="43">
        <f>SUMIFS('Journal Entries'!$L:$L,'Journal Entries'!$K:$K,$C21,'Journal Entries'!$C:$C,"&lt;="&amp;V$8,'Journal Entries'!$C:$C,"&gt;"&amp;U$8)</f>
        <v>0</v>
      </c>
      <c r="W21" s="43">
        <f>SUMIFS('Journal Entries'!$L:$L,'Journal Entries'!$K:$K,$C21,'Journal Entries'!$C:$C,"&lt;="&amp;W$8,'Journal Entries'!$C:$C,"&gt;"&amp;V$8)</f>
        <v>0</v>
      </c>
      <c r="X21" s="43">
        <f>SUMIFS('Journal Entries'!$L:$L,'Journal Entries'!$K:$K,$C21,'Journal Entries'!$C:$C,"&lt;="&amp;X$8,'Journal Entries'!$C:$C,"&gt;"&amp;W$8)</f>
        <v>0</v>
      </c>
      <c r="Y21" s="43">
        <f>SUMIFS('Journal Entries'!$L:$L,'Journal Entries'!$K:$K,$C21,'Journal Entries'!$C:$C,"&lt;="&amp;Y$8,'Journal Entries'!$C:$C,"&gt;"&amp;X$8)</f>
        <v>0</v>
      </c>
      <c r="Z21" s="43">
        <f>SUMIFS('Journal Entries'!$L:$L,'Journal Entries'!$K:$K,$C21,'Journal Entries'!$C:$C,"&lt;="&amp;Z$8,'Journal Entries'!$C:$C,"&gt;"&amp;Y$8)</f>
        <v>0</v>
      </c>
      <c r="AA21" s="43">
        <f>SUMIFS('Journal Entries'!$L:$L,'Journal Entries'!$K:$K,$C21,'Journal Entries'!$C:$C,"&lt;="&amp;AA$8,'Journal Entries'!$C:$C,"&gt;"&amp;Z$8)</f>
        <v>0</v>
      </c>
      <c r="AB21" s="43">
        <f>SUMIFS('Journal Entries'!$L:$L,'Journal Entries'!$K:$K,$C21,'Journal Entries'!$C:$C,"&lt;="&amp;AB$8,'Journal Entries'!$C:$C,"&gt;"&amp;AA$8)</f>
        <v>0</v>
      </c>
      <c r="AC21" s="43">
        <f>SUMIFS('Journal Entries'!$L:$L,'Journal Entries'!$K:$K,$C21,'Journal Entries'!$C:$C,"&lt;="&amp;AC$8,'Journal Entries'!$C:$C,"&gt;"&amp;AB$8)</f>
        <v>0</v>
      </c>
      <c r="AD21" s="43">
        <f>SUMIFS('Journal Entries'!$L:$L,'Journal Entries'!$K:$K,$C21,'Journal Entries'!$C:$C,"&lt;="&amp;AD$8,'Journal Entries'!$C:$C,"&gt;"&amp;AC$8)</f>
        <v>0</v>
      </c>
      <c r="AE21" s="43">
        <f>SUMIFS('Journal Entries'!$L:$L,'Journal Entries'!$K:$K,$C21,'Journal Entries'!$C:$C,"&lt;="&amp;AE$8,'Journal Entries'!$C:$C,"&gt;"&amp;AD$8)</f>
        <v>0</v>
      </c>
      <c r="AF21" s="43">
        <f>SUMIFS('Journal Entries'!$L:$L,'Journal Entries'!$K:$K,$C21,'Journal Entries'!$C:$C,"&lt;="&amp;AF$8,'Journal Entries'!$C:$C,"&gt;"&amp;AE$8)</f>
        <v>0</v>
      </c>
      <c r="AG21" s="43">
        <f>SUMIFS('Journal Entries'!$L:$L,'Journal Entries'!$K:$K,$C21,'Journal Entries'!$C:$C,"&lt;="&amp;AG$8,'Journal Entries'!$C:$C,"&gt;"&amp;AF$8)</f>
        <v>0</v>
      </c>
      <c r="AH21" s="43">
        <f>SUMIFS('Journal Entries'!$L:$L,'Journal Entries'!$K:$K,$C21,'Journal Entries'!$C:$C,"&lt;="&amp;AH$8,'Journal Entries'!$C:$C,"&gt;"&amp;AG$8)</f>
        <v>0</v>
      </c>
      <c r="AI21" s="43">
        <f>SUMIFS('Journal Entries'!$L:$L,'Journal Entries'!$K:$K,$C21,'Journal Entries'!$C:$C,"&lt;="&amp;AI$8,'Journal Entries'!$C:$C,"&gt;"&amp;AH$8)</f>
        <v>0</v>
      </c>
      <c r="AJ21" s="43">
        <f>SUMIFS('Journal Entries'!$L:$L,'Journal Entries'!$K:$K,$C21,'Journal Entries'!$C:$C,"&lt;="&amp;AJ$8,'Journal Entries'!$C:$C,"&gt;"&amp;AI$8)</f>
        <v>0</v>
      </c>
      <c r="AK21" s="43">
        <f>SUMIFS('Journal Entries'!$L:$L,'Journal Entries'!$K:$K,$C21,'Journal Entries'!$C:$C,"&lt;="&amp;AK$8,'Journal Entries'!$C:$C,"&gt;"&amp;AJ$8)</f>
        <v>0</v>
      </c>
      <c r="AL21" s="43">
        <f>SUMIFS('Journal Entries'!$L:$L,'Journal Entries'!$K:$K,$C21,'Journal Entries'!$C:$C,"&lt;="&amp;AL$8,'Journal Entries'!$C:$C,"&gt;"&amp;AK$8)</f>
        <v>0</v>
      </c>
      <c r="AM21" s="43">
        <f>SUMIFS('Journal Entries'!$L:$L,'Journal Entries'!$K:$K,$C21,'Journal Entries'!$C:$C,"&lt;="&amp;AM$8,'Journal Entries'!$C:$C,"&gt;"&amp;AL$8)</f>
        <v>0</v>
      </c>
      <c r="AN21" s="43">
        <f>SUMIFS('Journal Entries'!$L:$L,'Journal Entries'!$K:$K,$C21,'Journal Entries'!$C:$C,"&lt;="&amp;AN$8,'Journal Entries'!$C:$C,"&gt;"&amp;AM$8)</f>
        <v>0</v>
      </c>
      <c r="AO21" s="43">
        <f>SUMIFS('Journal Entries'!$L:$L,'Journal Entries'!$K:$K,$C21,'Journal Entries'!$C:$C,"&lt;="&amp;AO$8,'Journal Entries'!$C:$C,"&gt;"&amp;AN$8)</f>
        <v>0</v>
      </c>
      <c r="AP21" s="43">
        <f>SUMIFS('Journal Entries'!$L:$L,'Journal Entries'!$K:$K,$C21,'Journal Entries'!$C:$C,"&lt;="&amp;AP$8,'Journal Entries'!$C:$C,"&gt;"&amp;AO$8)</f>
        <v>0</v>
      </c>
      <c r="AQ21" s="43">
        <f>SUMIFS('Journal Entries'!$L:$L,'Journal Entries'!$K:$K,$C21,'Journal Entries'!$C:$C,"&lt;="&amp;AQ$8,'Journal Entries'!$C:$C,"&gt;"&amp;AP$8)</f>
        <v>0</v>
      </c>
      <c r="AR21" s="43">
        <f>SUMIFS('Journal Entries'!$L:$L,'Journal Entries'!$K:$K,$C21,'Journal Entries'!$C:$C,"&lt;="&amp;AR$8,'Journal Entries'!$C:$C,"&gt;"&amp;AQ$8)</f>
        <v>0</v>
      </c>
      <c r="AS21" s="43">
        <f>SUMIFS('Journal Entries'!$L:$L,'Journal Entries'!$K:$K,$C21,'Journal Entries'!$C:$C,"&lt;="&amp;AS$8,'Journal Entries'!$C:$C,"&gt;"&amp;AR$8)</f>
        <v>0</v>
      </c>
      <c r="AT21" s="43">
        <f>SUMIFS('Journal Entries'!$L:$L,'Journal Entries'!$K:$K,$C21,'Journal Entries'!$C:$C,"&lt;="&amp;AT$8,'Journal Entries'!$C:$C,"&gt;"&amp;AS$8)</f>
        <v>0</v>
      </c>
      <c r="AU21" s="43">
        <f>SUMIFS('Journal Entries'!$L:$L,'Journal Entries'!$K:$K,$C21,'Journal Entries'!$C:$C,"&lt;="&amp;AU$8,'Journal Entries'!$C:$C,"&gt;"&amp;AT$8)</f>
        <v>0</v>
      </c>
      <c r="AV21" s="43">
        <f>SUMIFS('Journal Entries'!$L:$L,'Journal Entries'!$K:$K,$C21,'Journal Entries'!$C:$C,"&lt;="&amp;AV$8,'Journal Entries'!$C:$C,"&gt;"&amp;AU$8)</f>
        <v>0</v>
      </c>
      <c r="AW21" s="43">
        <f>SUMIFS('Journal Entries'!$L:$L,'Journal Entries'!$K:$K,$C21,'Journal Entries'!$C:$C,"&lt;="&amp;AW$8,'Journal Entries'!$C:$C,"&gt;"&amp;AV$8)</f>
        <v>0</v>
      </c>
      <c r="AX21" s="43">
        <f>SUMIFS('Journal Entries'!$L:$L,'Journal Entries'!$K:$K,$C21,'Journal Entries'!$C:$C,"&lt;="&amp;AX$8,'Journal Entries'!$C:$C,"&gt;"&amp;AW$8)</f>
        <v>0</v>
      </c>
      <c r="AY21" s="43">
        <f>SUMIFS('Journal Entries'!$L:$L,'Journal Entries'!$K:$K,$C21,'Journal Entries'!$C:$C,"&lt;="&amp;AY$8,'Journal Entries'!$C:$C,"&gt;"&amp;AX$8)</f>
        <v>0</v>
      </c>
      <c r="AZ21" s="43">
        <f>SUMIFS('Journal Entries'!$L:$L,'Journal Entries'!$K:$K,$C21,'Journal Entries'!$C:$C,"&lt;="&amp;AZ$8,'Journal Entries'!$C:$C,"&gt;"&amp;AY$8)</f>
        <v>0</v>
      </c>
      <c r="BA21" s="43">
        <f>SUMIFS('Journal Entries'!$L:$L,'Journal Entries'!$K:$K,$C21,'Journal Entries'!$C:$C,"&lt;="&amp;BA$8,'Journal Entries'!$C:$C,"&gt;"&amp;AZ$8)</f>
        <v>0</v>
      </c>
      <c r="BB21" s="43">
        <f>SUMIFS('Journal Entries'!$L:$L,'Journal Entries'!$K:$K,$C21,'Journal Entries'!$C:$C,"&lt;="&amp;BB$8,'Journal Entries'!$C:$C,"&gt;"&amp;BA$8)</f>
        <v>0</v>
      </c>
      <c r="BC21" s="43">
        <f>SUMIFS('Journal Entries'!$L:$L,'Journal Entries'!$K:$K,$C21,'Journal Entries'!$C:$C,"&lt;="&amp;BC$8,'Journal Entries'!$C:$C,"&gt;"&amp;BB$8)</f>
        <v>0</v>
      </c>
      <c r="BD21" s="43">
        <f>SUMIFS('Journal Entries'!$L:$L,'Journal Entries'!$K:$K,$C21,'Journal Entries'!$C:$C,"&lt;="&amp;BD$8,'Journal Entries'!$C:$C,"&gt;"&amp;BC$8)</f>
        <v>0</v>
      </c>
      <c r="BE21" s="43">
        <f>SUMIFS('Journal Entries'!$L:$L,'Journal Entries'!$K:$K,$C21,'Journal Entries'!$C:$C,"&lt;="&amp;BE$8,'Journal Entries'!$C:$C,"&gt;"&amp;BD$8)</f>
        <v>0</v>
      </c>
      <c r="BF21" s="43">
        <f>SUMIFS('Journal Entries'!$L:$L,'Journal Entries'!$K:$K,$C21,'Journal Entries'!$C:$C,"&lt;="&amp;BF$8,'Journal Entries'!$C:$C,"&gt;"&amp;BE$8)</f>
        <v>0</v>
      </c>
      <c r="BG21" s="43">
        <f>SUMIFS('Journal Entries'!$L:$L,'Journal Entries'!$K:$K,$C21,'Journal Entries'!$C:$C,"&lt;="&amp;BG$8,'Journal Entries'!$C:$C,"&gt;"&amp;BF$8)</f>
        <v>0</v>
      </c>
      <c r="BH21" s="43">
        <f>SUMIFS('Journal Entries'!$L:$L,'Journal Entries'!$K:$K,$C21,'Journal Entries'!$C:$C,"&lt;="&amp;BH$8,'Journal Entries'!$C:$C,"&gt;"&amp;BG$8)</f>
        <v>0</v>
      </c>
      <c r="BI21" s="43">
        <f>SUMIFS('Journal Entries'!$L:$L,'Journal Entries'!$K:$K,$C21,'Journal Entries'!$C:$C,"&lt;="&amp;BI$8,'Journal Entries'!$C:$C,"&gt;"&amp;BH$8)</f>
        <v>0</v>
      </c>
      <c r="BJ21" s="43">
        <f>SUMIFS('Journal Entries'!$L:$L,'Journal Entries'!$K:$K,$C21,'Journal Entries'!$C:$C,"&lt;="&amp;BJ$8,'Journal Entries'!$C:$C,"&gt;"&amp;BI$8)</f>
        <v>0</v>
      </c>
      <c r="BK21" s="43">
        <f>SUMIFS('Journal Entries'!$L:$L,'Journal Entries'!$K:$K,$C21,'Journal Entries'!$C:$C,"&lt;="&amp;BK$8,'Journal Entries'!$C:$C,"&gt;"&amp;BJ$8)</f>
        <v>0</v>
      </c>
      <c r="BL21" s="43">
        <f>SUMIFS('Journal Entries'!$L:$L,'Journal Entries'!$K:$K,$C21,'Journal Entries'!$C:$C,"&lt;="&amp;BL$8,'Journal Entries'!$C:$C,"&gt;"&amp;BK$8)</f>
        <v>0</v>
      </c>
    </row>
    <row r="22" spans="2:64" x14ac:dyDescent="0.25">
      <c r="B22" s="10">
        <v>2000</v>
      </c>
      <c r="C22" s="10" t="str">
        <f>VLOOKUP(B22,'Chart of Accounts'!$B$3:$C$95,2,0)</f>
        <v>Management fee payable</v>
      </c>
      <c r="D22" s="525">
        <f t="shared" si="2"/>
        <v>0</v>
      </c>
      <c r="E22" s="43">
        <f>SUMIFS('Journal Entries'!$L:$L,'Journal Entries'!$K:$K,$C22,'Journal Entries'!$C:$C,"&lt;="&amp;E$8,'Journal Entries'!$C:$C,"&gt;"&amp;D$8)</f>
        <v>0</v>
      </c>
      <c r="F22" s="43">
        <f>SUMIFS('Journal Entries'!$L:$L,'Journal Entries'!$K:$K,$C22,'Journal Entries'!$C:$C,"&lt;="&amp;F$8,'Journal Entries'!$C:$C,"&gt;"&amp;E$8)</f>
        <v>0</v>
      </c>
      <c r="G22" s="43">
        <f>SUMIFS('Journal Entries'!$L:$L,'Journal Entries'!$K:$K,$C22,'Journal Entries'!$C:$C,"&lt;="&amp;G$8,'Journal Entries'!$C:$C,"&gt;"&amp;F$8)</f>
        <v>0</v>
      </c>
      <c r="H22" s="43">
        <f>SUMIFS('Journal Entries'!$L:$L,'Journal Entries'!$K:$K,$C22,'Journal Entries'!$C:$C,"&lt;="&amp;H$8,'Journal Entries'!$C:$C,"&gt;"&amp;G$8)</f>
        <v>0</v>
      </c>
      <c r="I22" s="43">
        <f>SUMIFS('Journal Entries'!$L:$L,'Journal Entries'!$K:$K,$C22,'Journal Entries'!$C:$C,"&lt;="&amp;I$8,'Journal Entries'!$C:$C,"&gt;"&amp;H$8)</f>
        <v>0</v>
      </c>
      <c r="J22" s="43">
        <f>SUMIFS('Journal Entries'!$L:$L,'Journal Entries'!$K:$K,$C22,'Journal Entries'!$C:$C,"&lt;="&amp;J$8,'Journal Entries'!$C:$C,"&gt;"&amp;I$8)</f>
        <v>0</v>
      </c>
      <c r="K22" s="43">
        <f>SUMIFS('Journal Entries'!$L:$L,'Journal Entries'!$K:$K,$C22,'Journal Entries'!$C:$C,"&lt;="&amp;K$8,'Journal Entries'!$C:$C,"&gt;"&amp;J$8)</f>
        <v>0</v>
      </c>
      <c r="L22" s="43">
        <f>SUMIFS('Journal Entries'!$L:$L,'Journal Entries'!$K:$K,$C22,'Journal Entries'!$C:$C,"&lt;="&amp;L$8,'Journal Entries'!$C:$C,"&gt;"&amp;K$8)</f>
        <v>0</v>
      </c>
      <c r="M22" s="43">
        <f>SUMIFS('Journal Entries'!$L:$L,'Journal Entries'!$K:$K,$C22,'Journal Entries'!$C:$C,"&lt;="&amp;M$8,'Journal Entries'!$C:$C,"&gt;"&amp;L$8)</f>
        <v>0</v>
      </c>
      <c r="N22" s="43">
        <f>SUMIFS('Journal Entries'!$L:$L,'Journal Entries'!$K:$K,$C22,'Journal Entries'!$C:$C,"&lt;="&amp;N$8,'Journal Entries'!$C:$C,"&gt;"&amp;M$8)</f>
        <v>0</v>
      </c>
      <c r="O22" s="43">
        <f>SUMIFS('Journal Entries'!$L:$L,'Journal Entries'!$K:$K,$C22,'Journal Entries'!$C:$C,"&lt;="&amp;O$8,'Journal Entries'!$C:$C,"&gt;"&amp;N$8)</f>
        <v>0</v>
      </c>
      <c r="P22" s="43">
        <f>SUMIFS('Journal Entries'!$L:$L,'Journal Entries'!$K:$K,$C22,'Journal Entries'!$C:$C,"&lt;="&amp;P$8,'Journal Entries'!$C:$C,"&gt;"&amp;O$8)</f>
        <v>0</v>
      </c>
      <c r="Q22" s="43">
        <f>SUMIFS('Journal Entries'!$L:$L,'Journal Entries'!$K:$K,$C22,'Journal Entries'!$C:$C,"&lt;="&amp;Q$8,'Journal Entries'!$C:$C,"&gt;"&amp;P$8)</f>
        <v>0</v>
      </c>
      <c r="R22" s="43">
        <f>SUMIFS('Journal Entries'!$L:$L,'Journal Entries'!$K:$K,$C22,'Journal Entries'!$C:$C,"&lt;="&amp;R$8,'Journal Entries'!$C:$C,"&gt;"&amp;Q$8)</f>
        <v>0</v>
      </c>
      <c r="S22" s="43">
        <f>SUMIFS('Journal Entries'!$L:$L,'Journal Entries'!$K:$K,$C22,'Journal Entries'!$C:$C,"&lt;="&amp;S$8,'Journal Entries'!$C:$C,"&gt;"&amp;R$8)</f>
        <v>0</v>
      </c>
      <c r="T22" s="43">
        <f>SUMIFS('Journal Entries'!$L:$L,'Journal Entries'!$K:$K,$C22,'Journal Entries'!$C:$C,"&lt;="&amp;T$8,'Journal Entries'!$C:$C,"&gt;"&amp;S$8)</f>
        <v>0</v>
      </c>
      <c r="U22" s="43">
        <f>SUMIFS('Journal Entries'!$L:$L,'Journal Entries'!$K:$K,$C22,'Journal Entries'!$C:$C,"&lt;="&amp;U$8,'Journal Entries'!$C:$C,"&gt;"&amp;T$8)</f>
        <v>0</v>
      </c>
      <c r="V22" s="43">
        <f>SUMIFS('Journal Entries'!$L:$L,'Journal Entries'!$K:$K,$C22,'Journal Entries'!$C:$C,"&lt;="&amp;V$8,'Journal Entries'!$C:$C,"&gt;"&amp;U$8)</f>
        <v>0</v>
      </c>
      <c r="W22" s="43">
        <f>SUMIFS('Journal Entries'!$L:$L,'Journal Entries'!$K:$K,$C22,'Journal Entries'!$C:$C,"&lt;="&amp;W$8,'Journal Entries'!$C:$C,"&gt;"&amp;V$8)</f>
        <v>0</v>
      </c>
      <c r="X22" s="43">
        <f>SUMIFS('Journal Entries'!$L:$L,'Journal Entries'!$K:$K,$C22,'Journal Entries'!$C:$C,"&lt;="&amp;X$8,'Journal Entries'!$C:$C,"&gt;"&amp;W$8)</f>
        <v>0</v>
      </c>
      <c r="Y22" s="43">
        <f>SUMIFS('Journal Entries'!$L:$L,'Journal Entries'!$K:$K,$C22,'Journal Entries'!$C:$C,"&lt;="&amp;Y$8,'Journal Entries'!$C:$C,"&gt;"&amp;X$8)</f>
        <v>0</v>
      </c>
      <c r="Z22" s="43">
        <f>SUMIFS('Journal Entries'!$L:$L,'Journal Entries'!$K:$K,$C22,'Journal Entries'!$C:$C,"&lt;="&amp;Z$8,'Journal Entries'!$C:$C,"&gt;"&amp;Y$8)</f>
        <v>0</v>
      </c>
      <c r="AA22" s="43">
        <f>SUMIFS('Journal Entries'!$L:$L,'Journal Entries'!$K:$K,$C22,'Journal Entries'!$C:$C,"&lt;="&amp;AA$8,'Journal Entries'!$C:$C,"&gt;"&amp;Z$8)</f>
        <v>0</v>
      </c>
      <c r="AB22" s="43">
        <f>SUMIFS('Journal Entries'!$L:$L,'Journal Entries'!$K:$K,$C22,'Journal Entries'!$C:$C,"&lt;="&amp;AB$8,'Journal Entries'!$C:$C,"&gt;"&amp;AA$8)</f>
        <v>0</v>
      </c>
      <c r="AC22" s="43">
        <f>SUMIFS('Journal Entries'!$L:$L,'Journal Entries'!$K:$K,$C22,'Journal Entries'!$C:$C,"&lt;="&amp;AC$8,'Journal Entries'!$C:$C,"&gt;"&amp;AB$8)</f>
        <v>0</v>
      </c>
      <c r="AD22" s="43">
        <f>SUMIFS('Journal Entries'!$L:$L,'Journal Entries'!$K:$K,$C22,'Journal Entries'!$C:$C,"&lt;="&amp;AD$8,'Journal Entries'!$C:$C,"&gt;"&amp;AC$8)</f>
        <v>0</v>
      </c>
      <c r="AE22" s="43">
        <f>SUMIFS('Journal Entries'!$L:$L,'Journal Entries'!$K:$K,$C22,'Journal Entries'!$C:$C,"&lt;="&amp;AE$8,'Journal Entries'!$C:$C,"&gt;"&amp;AD$8)</f>
        <v>0</v>
      </c>
      <c r="AF22" s="43">
        <f>SUMIFS('Journal Entries'!$L:$L,'Journal Entries'!$K:$K,$C22,'Journal Entries'!$C:$C,"&lt;="&amp;AF$8,'Journal Entries'!$C:$C,"&gt;"&amp;AE$8)</f>
        <v>0</v>
      </c>
      <c r="AG22" s="43">
        <f>SUMIFS('Journal Entries'!$L:$L,'Journal Entries'!$K:$K,$C22,'Journal Entries'!$C:$C,"&lt;="&amp;AG$8,'Journal Entries'!$C:$C,"&gt;"&amp;AF$8)</f>
        <v>0</v>
      </c>
      <c r="AH22" s="43">
        <f>SUMIFS('Journal Entries'!$L:$L,'Journal Entries'!$K:$K,$C22,'Journal Entries'!$C:$C,"&lt;="&amp;AH$8,'Journal Entries'!$C:$C,"&gt;"&amp;AG$8)</f>
        <v>0</v>
      </c>
      <c r="AI22" s="43">
        <f>SUMIFS('Journal Entries'!$L:$L,'Journal Entries'!$K:$K,$C22,'Journal Entries'!$C:$C,"&lt;="&amp;AI$8,'Journal Entries'!$C:$C,"&gt;"&amp;AH$8)</f>
        <v>0</v>
      </c>
      <c r="AJ22" s="43">
        <f>SUMIFS('Journal Entries'!$L:$L,'Journal Entries'!$K:$K,$C22,'Journal Entries'!$C:$C,"&lt;="&amp;AJ$8,'Journal Entries'!$C:$C,"&gt;"&amp;AI$8)</f>
        <v>0</v>
      </c>
      <c r="AK22" s="43">
        <f>SUMIFS('Journal Entries'!$L:$L,'Journal Entries'!$K:$K,$C22,'Journal Entries'!$C:$C,"&lt;="&amp;AK$8,'Journal Entries'!$C:$C,"&gt;"&amp;AJ$8)</f>
        <v>0</v>
      </c>
      <c r="AL22" s="43">
        <f>SUMIFS('Journal Entries'!$L:$L,'Journal Entries'!$K:$K,$C22,'Journal Entries'!$C:$C,"&lt;="&amp;AL$8,'Journal Entries'!$C:$C,"&gt;"&amp;AK$8)</f>
        <v>0</v>
      </c>
      <c r="AM22" s="43">
        <f>SUMIFS('Journal Entries'!$L:$L,'Journal Entries'!$K:$K,$C22,'Journal Entries'!$C:$C,"&lt;="&amp;AM$8,'Journal Entries'!$C:$C,"&gt;"&amp;AL$8)</f>
        <v>0</v>
      </c>
      <c r="AN22" s="43">
        <f>SUMIFS('Journal Entries'!$L:$L,'Journal Entries'!$K:$K,$C22,'Journal Entries'!$C:$C,"&lt;="&amp;AN$8,'Journal Entries'!$C:$C,"&gt;"&amp;AM$8)</f>
        <v>0</v>
      </c>
      <c r="AO22" s="43">
        <f>SUMIFS('Journal Entries'!$L:$L,'Journal Entries'!$K:$K,$C22,'Journal Entries'!$C:$C,"&lt;="&amp;AO$8,'Journal Entries'!$C:$C,"&gt;"&amp;AN$8)</f>
        <v>0</v>
      </c>
      <c r="AP22" s="43">
        <f>SUMIFS('Journal Entries'!$L:$L,'Journal Entries'!$K:$K,$C22,'Journal Entries'!$C:$C,"&lt;="&amp;AP$8,'Journal Entries'!$C:$C,"&gt;"&amp;AO$8)</f>
        <v>0</v>
      </c>
      <c r="AQ22" s="43">
        <f>SUMIFS('Journal Entries'!$L:$L,'Journal Entries'!$K:$K,$C22,'Journal Entries'!$C:$C,"&lt;="&amp;AQ$8,'Journal Entries'!$C:$C,"&gt;"&amp;AP$8)</f>
        <v>0</v>
      </c>
      <c r="AR22" s="43">
        <f>SUMIFS('Journal Entries'!$L:$L,'Journal Entries'!$K:$K,$C22,'Journal Entries'!$C:$C,"&lt;="&amp;AR$8,'Journal Entries'!$C:$C,"&gt;"&amp;AQ$8)</f>
        <v>0</v>
      </c>
      <c r="AS22" s="43">
        <f>SUMIFS('Journal Entries'!$L:$L,'Journal Entries'!$K:$K,$C22,'Journal Entries'!$C:$C,"&lt;="&amp;AS$8,'Journal Entries'!$C:$C,"&gt;"&amp;AR$8)</f>
        <v>0</v>
      </c>
      <c r="AT22" s="43">
        <f>SUMIFS('Journal Entries'!$L:$L,'Journal Entries'!$K:$K,$C22,'Journal Entries'!$C:$C,"&lt;="&amp;AT$8,'Journal Entries'!$C:$C,"&gt;"&amp;AS$8)</f>
        <v>0</v>
      </c>
      <c r="AU22" s="43">
        <f>SUMIFS('Journal Entries'!$L:$L,'Journal Entries'!$K:$K,$C22,'Journal Entries'!$C:$C,"&lt;="&amp;AU$8,'Journal Entries'!$C:$C,"&gt;"&amp;AT$8)</f>
        <v>0</v>
      </c>
      <c r="AV22" s="43">
        <f>SUMIFS('Journal Entries'!$L:$L,'Journal Entries'!$K:$K,$C22,'Journal Entries'!$C:$C,"&lt;="&amp;AV$8,'Journal Entries'!$C:$C,"&gt;"&amp;AU$8)</f>
        <v>0</v>
      </c>
      <c r="AW22" s="43">
        <f>SUMIFS('Journal Entries'!$L:$L,'Journal Entries'!$K:$K,$C22,'Journal Entries'!$C:$C,"&lt;="&amp;AW$8,'Journal Entries'!$C:$C,"&gt;"&amp;AV$8)</f>
        <v>0</v>
      </c>
      <c r="AX22" s="43">
        <f>SUMIFS('Journal Entries'!$L:$L,'Journal Entries'!$K:$K,$C22,'Journal Entries'!$C:$C,"&lt;="&amp;AX$8,'Journal Entries'!$C:$C,"&gt;"&amp;AW$8)</f>
        <v>0</v>
      </c>
      <c r="AY22" s="43">
        <f>SUMIFS('Journal Entries'!$L:$L,'Journal Entries'!$K:$K,$C22,'Journal Entries'!$C:$C,"&lt;="&amp;AY$8,'Journal Entries'!$C:$C,"&gt;"&amp;AX$8)</f>
        <v>0</v>
      </c>
      <c r="AZ22" s="43">
        <f>SUMIFS('Journal Entries'!$L:$L,'Journal Entries'!$K:$K,$C22,'Journal Entries'!$C:$C,"&lt;="&amp;AZ$8,'Journal Entries'!$C:$C,"&gt;"&amp;AY$8)</f>
        <v>0</v>
      </c>
      <c r="BA22" s="43">
        <f>SUMIFS('Journal Entries'!$L:$L,'Journal Entries'!$K:$K,$C22,'Journal Entries'!$C:$C,"&lt;="&amp;BA$8,'Journal Entries'!$C:$C,"&gt;"&amp;AZ$8)</f>
        <v>0</v>
      </c>
      <c r="BB22" s="43">
        <f>SUMIFS('Journal Entries'!$L:$L,'Journal Entries'!$K:$K,$C22,'Journal Entries'!$C:$C,"&lt;="&amp;BB$8,'Journal Entries'!$C:$C,"&gt;"&amp;BA$8)</f>
        <v>0</v>
      </c>
      <c r="BC22" s="43">
        <f>SUMIFS('Journal Entries'!$L:$L,'Journal Entries'!$K:$K,$C22,'Journal Entries'!$C:$C,"&lt;="&amp;BC$8,'Journal Entries'!$C:$C,"&gt;"&amp;BB$8)</f>
        <v>0</v>
      </c>
      <c r="BD22" s="43">
        <f>SUMIFS('Journal Entries'!$L:$L,'Journal Entries'!$K:$K,$C22,'Journal Entries'!$C:$C,"&lt;="&amp;BD$8,'Journal Entries'!$C:$C,"&gt;"&amp;BC$8)</f>
        <v>0</v>
      </c>
      <c r="BE22" s="43">
        <f>SUMIFS('Journal Entries'!$L:$L,'Journal Entries'!$K:$K,$C22,'Journal Entries'!$C:$C,"&lt;="&amp;BE$8,'Journal Entries'!$C:$C,"&gt;"&amp;BD$8)</f>
        <v>0</v>
      </c>
      <c r="BF22" s="43">
        <f>SUMIFS('Journal Entries'!$L:$L,'Journal Entries'!$K:$K,$C22,'Journal Entries'!$C:$C,"&lt;="&amp;BF$8,'Journal Entries'!$C:$C,"&gt;"&amp;BE$8)</f>
        <v>0</v>
      </c>
      <c r="BG22" s="43">
        <f>SUMIFS('Journal Entries'!$L:$L,'Journal Entries'!$K:$K,$C22,'Journal Entries'!$C:$C,"&lt;="&amp;BG$8,'Journal Entries'!$C:$C,"&gt;"&amp;BF$8)</f>
        <v>0</v>
      </c>
      <c r="BH22" s="43">
        <f>SUMIFS('Journal Entries'!$L:$L,'Journal Entries'!$K:$K,$C22,'Journal Entries'!$C:$C,"&lt;="&amp;BH$8,'Journal Entries'!$C:$C,"&gt;"&amp;BG$8)</f>
        <v>0</v>
      </c>
      <c r="BI22" s="43">
        <f>SUMIFS('Journal Entries'!$L:$L,'Journal Entries'!$K:$K,$C22,'Journal Entries'!$C:$C,"&lt;="&amp;BI$8,'Journal Entries'!$C:$C,"&gt;"&amp;BH$8)</f>
        <v>0</v>
      </c>
      <c r="BJ22" s="43">
        <f>SUMIFS('Journal Entries'!$L:$L,'Journal Entries'!$K:$K,$C22,'Journal Entries'!$C:$C,"&lt;="&amp;BJ$8,'Journal Entries'!$C:$C,"&gt;"&amp;BI$8)</f>
        <v>0</v>
      </c>
      <c r="BK22" s="43">
        <f>SUMIFS('Journal Entries'!$L:$L,'Journal Entries'!$K:$K,$C22,'Journal Entries'!$C:$C,"&lt;="&amp;BK$8,'Journal Entries'!$C:$C,"&gt;"&amp;BJ$8)</f>
        <v>0</v>
      </c>
      <c r="BL22" s="43">
        <f>SUMIFS('Journal Entries'!$L:$L,'Journal Entries'!$K:$K,$C22,'Journal Entries'!$C:$C,"&lt;="&amp;BL$8,'Journal Entries'!$C:$C,"&gt;"&amp;BK$8)</f>
        <v>0</v>
      </c>
    </row>
    <row r="23" spans="2:64" x14ac:dyDescent="0.25">
      <c r="B23" s="10">
        <v>2010</v>
      </c>
      <c r="C23" s="10" t="str">
        <f>VLOOKUP(B23,'Chart of Accounts'!$B$3:$C$95,2,0)</f>
        <v>Accrued management fee</v>
      </c>
      <c r="D23" s="525">
        <f t="shared" si="2"/>
        <v>0</v>
      </c>
      <c r="E23" s="43">
        <f>SUMIFS('Journal Entries'!$L:$L,'Journal Entries'!$K:$K,$C23,'Journal Entries'!$C:$C,"&lt;="&amp;E$8,'Journal Entries'!$C:$C,"&gt;"&amp;D$8)</f>
        <v>-25000</v>
      </c>
      <c r="F23" s="43">
        <f>SUMIFS('Journal Entries'!$L:$L,'Journal Entries'!$K:$K,$C23,'Journal Entries'!$C:$C,"&lt;="&amp;F$8,'Journal Entries'!$C:$C,"&gt;"&amp;E$8)</f>
        <v>-25000</v>
      </c>
      <c r="G23" s="43">
        <f>SUMIFS('Journal Entries'!$L:$L,'Journal Entries'!$K:$K,$C23,'Journal Entries'!$C:$C,"&lt;="&amp;G$8,'Journal Entries'!$C:$C,"&gt;"&amp;F$8)</f>
        <v>50000</v>
      </c>
      <c r="H23" s="43">
        <f>SUMIFS('Journal Entries'!$L:$L,'Journal Entries'!$K:$K,$C23,'Journal Entries'!$C:$C,"&lt;="&amp;H$8,'Journal Entries'!$C:$C,"&gt;"&amp;G$8)</f>
        <v>-25000</v>
      </c>
      <c r="I23" s="43">
        <f>SUMIFS('Journal Entries'!$L:$L,'Journal Entries'!$K:$K,$C23,'Journal Entries'!$C:$C,"&lt;="&amp;I$8,'Journal Entries'!$C:$C,"&gt;"&amp;H$8)</f>
        <v>-25000</v>
      </c>
      <c r="J23" s="43">
        <f>SUMIFS('Journal Entries'!$L:$L,'Journal Entries'!$K:$K,$C23,'Journal Entries'!$C:$C,"&lt;="&amp;J$8,'Journal Entries'!$C:$C,"&gt;"&amp;I$8)</f>
        <v>50000</v>
      </c>
      <c r="K23" s="43">
        <f>SUMIFS('Journal Entries'!$L:$L,'Journal Entries'!$K:$K,$C23,'Journal Entries'!$C:$C,"&lt;="&amp;K$8,'Journal Entries'!$C:$C,"&gt;"&amp;J$8)</f>
        <v>-25000</v>
      </c>
      <c r="L23" s="43">
        <f>SUMIFS('Journal Entries'!$L:$L,'Journal Entries'!$K:$K,$C23,'Journal Entries'!$C:$C,"&lt;="&amp;L$8,'Journal Entries'!$C:$C,"&gt;"&amp;K$8)</f>
        <v>-25000</v>
      </c>
      <c r="M23" s="43">
        <f>SUMIFS('Journal Entries'!$L:$L,'Journal Entries'!$K:$K,$C23,'Journal Entries'!$C:$C,"&lt;="&amp;M$8,'Journal Entries'!$C:$C,"&gt;"&amp;L$8)</f>
        <v>50000</v>
      </c>
      <c r="N23" s="43">
        <f>SUMIFS('Journal Entries'!$L:$L,'Journal Entries'!$K:$K,$C23,'Journal Entries'!$C:$C,"&lt;="&amp;N$8,'Journal Entries'!$C:$C,"&gt;"&amp;M$8)</f>
        <v>-25000</v>
      </c>
      <c r="O23" s="43">
        <f>SUMIFS('Journal Entries'!$L:$L,'Journal Entries'!$K:$K,$C23,'Journal Entries'!$C:$C,"&lt;="&amp;O$8,'Journal Entries'!$C:$C,"&gt;"&amp;N$8)</f>
        <v>-25000</v>
      </c>
      <c r="P23" s="43">
        <f>SUMIFS('Journal Entries'!$L:$L,'Journal Entries'!$K:$K,$C23,'Journal Entries'!$C:$C,"&lt;="&amp;P$8,'Journal Entries'!$C:$C,"&gt;"&amp;O$8)</f>
        <v>50000</v>
      </c>
      <c r="Q23" s="43">
        <f>SUMIFS('Journal Entries'!$L:$L,'Journal Entries'!$K:$K,$C23,'Journal Entries'!$C:$C,"&lt;="&amp;Q$8,'Journal Entries'!$C:$C,"&gt;"&amp;P$8)</f>
        <v>0</v>
      </c>
      <c r="R23" s="43">
        <f>SUMIFS('Journal Entries'!$L:$L,'Journal Entries'!$K:$K,$C23,'Journal Entries'!$C:$C,"&lt;="&amp;R$8,'Journal Entries'!$C:$C,"&gt;"&amp;Q$8)</f>
        <v>0</v>
      </c>
      <c r="S23" s="43">
        <f>SUMIFS('Journal Entries'!$L:$L,'Journal Entries'!$K:$K,$C23,'Journal Entries'!$C:$C,"&lt;="&amp;S$8,'Journal Entries'!$C:$C,"&gt;"&amp;R$8)</f>
        <v>0</v>
      </c>
      <c r="T23" s="43">
        <f>SUMIFS('Journal Entries'!$L:$L,'Journal Entries'!$K:$K,$C23,'Journal Entries'!$C:$C,"&lt;="&amp;T$8,'Journal Entries'!$C:$C,"&gt;"&amp;S$8)</f>
        <v>0</v>
      </c>
      <c r="U23" s="43">
        <f>SUMIFS('Journal Entries'!$L:$L,'Journal Entries'!$K:$K,$C23,'Journal Entries'!$C:$C,"&lt;="&amp;U$8,'Journal Entries'!$C:$C,"&gt;"&amp;T$8)</f>
        <v>0</v>
      </c>
      <c r="V23" s="43">
        <f>SUMIFS('Journal Entries'!$L:$L,'Journal Entries'!$K:$K,$C23,'Journal Entries'!$C:$C,"&lt;="&amp;V$8,'Journal Entries'!$C:$C,"&gt;"&amp;U$8)</f>
        <v>0</v>
      </c>
      <c r="W23" s="43">
        <f>SUMIFS('Journal Entries'!$L:$L,'Journal Entries'!$K:$K,$C23,'Journal Entries'!$C:$C,"&lt;="&amp;W$8,'Journal Entries'!$C:$C,"&gt;"&amp;V$8)</f>
        <v>0</v>
      </c>
      <c r="X23" s="43">
        <f>SUMIFS('Journal Entries'!$L:$L,'Journal Entries'!$K:$K,$C23,'Journal Entries'!$C:$C,"&lt;="&amp;X$8,'Journal Entries'!$C:$C,"&gt;"&amp;W$8)</f>
        <v>0</v>
      </c>
      <c r="Y23" s="43">
        <f>SUMIFS('Journal Entries'!$L:$L,'Journal Entries'!$K:$K,$C23,'Journal Entries'!$C:$C,"&lt;="&amp;Y$8,'Journal Entries'!$C:$C,"&gt;"&amp;X$8)</f>
        <v>0</v>
      </c>
      <c r="Z23" s="43">
        <f>SUMIFS('Journal Entries'!$L:$L,'Journal Entries'!$K:$K,$C23,'Journal Entries'!$C:$C,"&lt;="&amp;Z$8,'Journal Entries'!$C:$C,"&gt;"&amp;Y$8)</f>
        <v>0</v>
      </c>
      <c r="AA23" s="43">
        <f>SUMIFS('Journal Entries'!$L:$L,'Journal Entries'!$K:$K,$C23,'Journal Entries'!$C:$C,"&lt;="&amp;AA$8,'Journal Entries'!$C:$C,"&gt;"&amp;Z$8)</f>
        <v>0</v>
      </c>
      <c r="AB23" s="43">
        <f>SUMIFS('Journal Entries'!$L:$L,'Journal Entries'!$K:$K,$C23,'Journal Entries'!$C:$C,"&lt;="&amp;AB$8,'Journal Entries'!$C:$C,"&gt;"&amp;AA$8)</f>
        <v>0</v>
      </c>
      <c r="AC23" s="43">
        <f>SUMIFS('Journal Entries'!$L:$L,'Journal Entries'!$K:$K,$C23,'Journal Entries'!$C:$C,"&lt;="&amp;AC$8,'Journal Entries'!$C:$C,"&gt;"&amp;AB$8)</f>
        <v>0</v>
      </c>
      <c r="AD23" s="43">
        <f>SUMIFS('Journal Entries'!$L:$L,'Journal Entries'!$K:$K,$C23,'Journal Entries'!$C:$C,"&lt;="&amp;AD$8,'Journal Entries'!$C:$C,"&gt;"&amp;AC$8)</f>
        <v>0</v>
      </c>
      <c r="AE23" s="43">
        <f>SUMIFS('Journal Entries'!$L:$L,'Journal Entries'!$K:$K,$C23,'Journal Entries'!$C:$C,"&lt;="&amp;AE$8,'Journal Entries'!$C:$C,"&gt;"&amp;AD$8)</f>
        <v>0</v>
      </c>
      <c r="AF23" s="43">
        <f>SUMIFS('Journal Entries'!$L:$L,'Journal Entries'!$K:$K,$C23,'Journal Entries'!$C:$C,"&lt;="&amp;AF$8,'Journal Entries'!$C:$C,"&gt;"&amp;AE$8)</f>
        <v>0</v>
      </c>
      <c r="AG23" s="43">
        <f>SUMIFS('Journal Entries'!$L:$L,'Journal Entries'!$K:$K,$C23,'Journal Entries'!$C:$C,"&lt;="&amp;AG$8,'Journal Entries'!$C:$C,"&gt;"&amp;AF$8)</f>
        <v>0</v>
      </c>
      <c r="AH23" s="43">
        <f>SUMIFS('Journal Entries'!$L:$L,'Journal Entries'!$K:$K,$C23,'Journal Entries'!$C:$C,"&lt;="&amp;AH$8,'Journal Entries'!$C:$C,"&gt;"&amp;AG$8)</f>
        <v>0</v>
      </c>
      <c r="AI23" s="43">
        <f>SUMIFS('Journal Entries'!$L:$L,'Journal Entries'!$K:$K,$C23,'Journal Entries'!$C:$C,"&lt;="&amp;AI$8,'Journal Entries'!$C:$C,"&gt;"&amp;AH$8)</f>
        <v>0</v>
      </c>
      <c r="AJ23" s="43">
        <f>SUMIFS('Journal Entries'!$L:$L,'Journal Entries'!$K:$K,$C23,'Journal Entries'!$C:$C,"&lt;="&amp;AJ$8,'Journal Entries'!$C:$C,"&gt;"&amp;AI$8)</f>
        <v>0</v>
      </c>
      <c r="AK23" s="43">
        <f>SUMIFS('Journal Entries'!$L:$L,'Journal Entries'!$K:$K,$C23,'Journal Entries'!$C:$C,"&lt;="&amp;AK$8,'Journal Entries'!$C:$C,"&gt;"&amp;AJ$8)</f>
        <v>0</v>
      </c>
      <c r="AL23" s="43">
        <f>SUMIFS('Journal Entries'!$L:$L,'Journal Entries'!$K:$K,$C23,'Journal Entries'!$C:$C,"&lt;="&amp;AL$8,'Journal Entries'!$C:$C,"&gt;"&amp;AK$8)</f>
        <v>0</v>
      </c>
      <c r="AM23" s="43">
        <f>SUMIFS('Journal Entries'!$L:$L,'Journal Entries'!$K:$K,$C23,'Journal Entries'!$C:$C,"&lt;="&amp;AM$8,'Journal Entries'!$C:$C,"&gt;"&amp;AL$8)</f>
        <v>0</v>
      </c>
      <c r="AN23" s="43">
        <f>SUMIFS('Journal Entries'!$L:$L,'Journal Entries'!$K:$K,$C23,'Journal Entries'!$C:$C,"&lt;="&amp;AN$8,'Journal Entries'!$C:$C,"&gt;"&amp;AM$8)</f>
        <v>0</v>
      </c>
      <c r="AO23" s="43">
        <f>SUMIFS('Journal Entries'!$L:$L,'Journal Entries'!$K:$K,$C23,'Journal Entries'!$C:$C,"&lt;="&amp;AO$8,'Journal Entries'!$C:$C,"&gt;"&amp;AN$8)</f>
        <v>0</v>
      </c>
      <c r="AP23" s="43">
        <f>SUMIFS('Journal Entries'!$L:$L,'Journal Entries'!$K:$K,$C23,'Journal Entries'!$C:$C,"&lt;="&amp;AP$8,'Journal Entries'!$C:$C,"&gt;"&amp;AO$8)</f>
        <v>0</v>
      </c>
      <c r="AQ23" s="43">
        <f>SUMIFS('Journal Entries'!$L:$L,'Journal Entries'!$K:$K,$C23,'Journal Entries'!$C:$C,"&lt;="&amp;AQ$8,'Journal Entries'!$C:$C,"&gt;"&amp;AP$8)</f>
        <v>0</v>
      </c>
      <c r="AR23" s="43">
        <f>SUMIFS('Journal Entries'!$L:$L,'Journal Entries'!$K:$K,$C23,'Journal Entries'!$C:$C,"&lt;="&amp;AR$8,'Journal Entries'!$C:$C,"&gt;"&amp;AQ$8)</f>
        <v>0</v>
      </c>
      <c r="AS23" s="43">
        <f>SUMIFS('Journal Entries'!$L:$L,'Journal Entries'!$K:$K,$C23,'Journal Entries'!$C:$C,"&lt;="&amp;AS$8,'Journal Entries'!$C:$C,"&gt;"&amp;AR$8)</f>
        <v>0</v>
      </c>
      <c r="AT23" s="43">
        <f>SUMIFS('Journal Entries'!$L:$L,'Journal Entries'!$K:$K,$C23,'Journal Entries'!$C:$C,"&lt;="&amp;AT$8,'Journal Entries'!$C:$C,"&gt;"&amp;AS$8)</f>
        <v>0</v>
      </c>
      <c r="AU23" s="43">
        <f>SUMIFS('Journal Entries'!$L:$L,'Journal Entries'!$K:$K,$C23,'Journal Entries'!$C:$C,"&lt;="&amp;AU$8,'Journal Entries'!$C:$C,"&gt;"&amp;AT$8)</f>
        <v>0</v>
      </c>
      <c r="AV23" s="43">
        <f>SUMIFS('Journal Entries'!$L:$L,'Journal Entries'!$K:$K,$C23,'Journal Entries'!$C:$C,"&lt;="&amp;AV$8,'Journal Entries'!$C:$C,"&gt;"&amp;AU$8)</f>
        <v>0</v>
      </c>
      <c r="AW23" s="43">
        <f>SUMIFS('Journal Entries'!$L:$L,'Journal Entries'!$K:$K,$C23,'Journal Entries'!$C:$C,"&lt;="&amp;AW$8,'Journal Entries'!$C:$C,"&gt;"&amp;AV$8)</f>
        <v>0</v>
      </c>
      <c r="AX23" s="43">
        <f>SUMIFS('Journal Entries'!$L:$L,'Journal Entries'!$K:$K,$C23,'Journal Entries'!$C:$C,"&lt;="&amp;AX$8,'Journal Entries'!$C:$C,"&gt;"&amp;AW$8)</f>
        <v>0</v>
      </c>
      <c r="AY23" s="43">
        <f>SUMIFS('Journal Entries'!$L:$L,'Journal Entries'!$K:$K,$C23,'Journal Entries'!$C:$C,"&lt;="&amp;AY$8,'Journal Entries'!$C:$C,"&gt;"&amp;AX$8)</f>
        <v>0</v>
      </c>
      <c r="AZ23" s="43">
        <f>SUMIFS('Journal Entries'!$L:$L,'Journal Entries'!$K:$K,$C23,'Journal Entries'!$C:$C,"&lt;="&amp;AZ$8,'Journal Entries'!$C:$C,"&gt;"&amp;AY$8)</f>
        <v>0</v>
      </c>
      <c r="BA23" s="43">
        <f>SUMIFS('Journal Entries'!$L:$L,'Journal Entries'!$K:$K,$C23,'Journal Entries'!$C:$C,"&lt;="&amp;BA$8,'Journal Entries'!$C:$C,"&gt;"&amp;AZ$8)</f>
        <v>0</v>
      </c>
      <c r="BB23" s="43">
        <f>SUMIFS('Journal Entries'!$L:$L,'Journal Entries'!$K:$K,$C23,'Journal Entries'!$C:$C,"&lt;="&amp;BB$8,'Journal Entries'!$C:$C,"&gt;"&amp;BA$8)</f>
        <v>0</v>
      </c>
      <c r="BC23" s="43">
        <f>SUMIFS('Journal Entries'!$L:$L,'Journal Entries'!$K:$K,$C23,'Journal Entries'!$C:$C,"&lt;="&amp;BC$8,'Journal Entries'!$C:$C,"&gt;"&amp;BB$8)</f>
        <v>0</v>
      </c>
      <c r="BD23" s="43">
        <f>SUMIFS('Journal Entries'!$L:$L,'Journal Entries'!$K:$K,$C23,'Journal Entries'!$C:$C,"&lt;="&amp;BD$8,'Journal Entries'!$C:$C,"&gt;"&amp;BC$8)</f>
        <v>0</v>
      </c>
      <c r="BE23" s="43">
        <f>SUMIFS('Journal Entries'!$L:$L,'Journal Entries'!$K:$K,$C23,'Journal Entries'!$C:$C,"&lt;="&amp;BE$8,'Journal Entries'!$C:$C,"&gt;"&amp;BD$8)</f>
        <v>0</v>
      </c>
      <c r="BF23" s="43">
        <f>SUMIFS('Journal Entries'!$L:$L,'Journal Entries'!$K:$K,$C23,'Journal Entries'!$C:$C,"&lt;="&amp;BF$8,'Journal Entries'!$C:$C,"&gt;"&amp;BE$8)</f>
        <v>0</v>
      </c>
      <c r="BG23" s="43">
        <f>SUMIFS('Journal Entries'!$L:$L,'Journal Entries'!$K:$K,$C23,'Journal Entries'!$C:$C,"&lt;="&amp;BG$8,'Journal Entries'!$C:$C,"&gt;"&amp;BF$8)</f>
        <v>0</v>
      </c>
      <c r="BH23" s="43">
        <f>SUMIFS('Journal Entries'!$L:$L,'Journal Entries'!$K:$K,$C23,'Journal Entries'!$C:$C,"&lt;="&amp;BH$8,'Journal Entries'!$C:$C,"&gt;"&amp;BG$8)</f>
        <v>0</v>
      </c>
      <c r="BI23" s="43">
        <f>SUMIFS('Journal Entries'!$L:$L,'Journal Entries'!$K:$K,$C23,'Journal Entries'!$C:$C,"&lt;="&amp;BI$8,'Journal Entries'!$C:$C,"&gt;"&amp;BH$8)</f>
        <v>0</v>
      </c>
      <c r="BJ23" s="43">
        <f>SUMIFS('Journal Entries'!$L:$L,'Journal Entries'!$K:$K,$C23,'Journal Entries'!$C:$C,"&lt;="&amp;BJ$8,'Journal Entries'!$C:$C,"&gt;"&amp;BI$8)</f>
        <v>0</v>
      </c>
      <c r="BK23" s="43">
        <f>SUMIFS('Journal Entries'!$L:$L,'Journal Entries'!$K:$K,$C23,'Journal Entries'!$C:$C,"&lt;="&amp;BK$8,'Journal Entries'!$C:$C,"&gt;"&amp;BJ$8)</f>
        <v>0</v>
      </c>
      <c r="BL23" s="43">
        <f>SUMIFS('Journal Entries'!$L:$L,'Journal Entries'!$K:$K,$C23,'Journal Entries'!$C:$C,"&lt;="&amp;BL$8,'Journal Entries'!$C:$C,"&gt;"&amp;BK$8)</f>
        <v>0</v>
      </c>
    </row>
    <row r="24" spans="2:64" x14ac:dyDescent="0.25">
      <c r="B24" s="10">
        <v>2020</v>
      </c>
      <c r="C24" s="10" t="str">
        <f>VLOOKUP(B24,'Chart of Accounts'!$B$3:$C$95,2,0)</f>
        <v>Accrued expenses</v>
      </c>
      <c r="D24" s="525">
        <f t="shared" si="2"/>
        <v>0</v>
      </c>
      <c r="E24" s="43">
        <f>SUMIFS('Journal Entries'!$L:$L,'Journal Entries'!$K:$K,$C24,'Journal Entries'!$C:$C,"&lt;="&amp;E$8,'Journal Entries'!$C:$C,"&gt;"&amp;D$8)</f>
        <v>-5000</v>
      </c>
      <c r="F24" s="43">
        <f>SUMIFS('Journal Entries'!$L:$L,'Journal Entries'!$K:$K,$C24,'Journal Entries'!$C:$C,"&lt;="&amp;F$8,'Journal Entries'!$C:$C,"&gt;"&amp;E$8)</f>
        <v>-5000</v>
      </c>
      <c r="G24" s="43">
        <f>SUMIFS('Journal Entries'!$L:$L,'Journal Entries'!$K:$K,$C24,'Journal Entries'!$C:$C,"&lt;="&amp;G$8,'Journal Entries'!$C:$C,"&gt;"&amp;F$8)</f>
        <v>-5000</v>
      </c>
      <c r="H24" s="43">
        <f>SUMIFS('Journal Entries'!$L:$L,'Journal Entries'!$K:$K,$C24,'Journal Entries'!$C:$C,"&lt;="&amp;H$8,'Journal Entries'!$C:$C,"&gt;"&amp;G$8)</f>
        <v>-5000</v>
      </c>
      <c r="I24" s="43">
        <f>SUMIFS('Journal Entries'!$L:$L,'Journal Entries'!$K:$K,$C24,'Journal Entries'!$C:$C,"&lt;="&amp;I$8,'Journal Entries'!$C:$C,"&gt;"&amp;H$8)</f>
        <v>-5000</v>
      </c>
      <c r="J24" s="43">
        <f>SUMIFS('Journal Entries'!$L:$L,'Journal Entries'!$K:$K,$C24,'Journal Entries'!$C:$C,"&lt;="&amp;J$8,'Journal Entries'!$C:$C,"&gt;"&amp;I$8)</f>
        <v>-5000</v>
      </c>
      <c r="K24" s="43">
        <f>SUMIFS('Journal Entries'!$L:$L,'Journal Entries'!$K:$K,$C24,'Journal Entries'!$C:$C,"&lt;="&amp;K$8,'Journal Entries'!$C:$C,"&gt;"&amp;J$8)</f>
        <v>-5000</v>
      </c>
      <c r="L24" s="43">
        <f>SUMIFS('Journal Entries'!$L:$L,'Journal Entries'!$K:$K,$C24,'Journal Entries'!$C:$C,"&lt;="&amp;L$8,'Journal Entries'!$C:$C,"&gt;"&amp;K$8)</f>
        <v>-5000</v>
      </c>
      <c r="M24" s="43">
        <f>SUMIFS('Journal Entries'!$L:$L,'Journal Entries'!$K:$K,$C24,'Journal Entries'!$C:$C,"&lt;="&amp;M$8,'Journal Entries'!$C:$C,"&gt;"&amp;L$8)</f>
        <v>-5000</v>
      </c>
      <c r="N24" s="43">
        <f>SUMIFS('Journal Entries'!$L:$L,'Journal Entries'!$K:$K,$C24,'Journal Entries'!$C:$C,"&lt;="&amp;N$8,'Journal Entries'!$C:$C,"&gt;"&amp;M$8)</f>
        <v>-5000</v>
      </c>
      <c r="O24" s="43">
        <f>SUMIFS('Journal Entries'!$L:$L,'Journal Entries'!$K:$K,$C24,'Journal Entries'!$C:$C,"&lt;="&amp;O$8,'Journal Entries'!$C:$C,"&gt;"&amp;N$8)</f>
        <v>-5000</v>
      </c>
      <c r="P24" s="43">
        <f>SUMIFS('Journal Entries'!$L:$L,'Journal Entries'!$K:$K,$C24,'Journal Entries'!$C:$C,"&lt;="&amp;P$8,'Journal Entries'!$C:$C,"&gt;"&amp;O$8)</f>
        <v>55000</v>
      </c>
      <c r="Q24" s="43">
        <f>SUMIFS('Journal Entries'!$L:$L,'Journal Entries'!$K:$K,$C24,'Journal Entries'!$C:$C,"&lt;="&amp;Q$8,'Journal Entries'!$C:$C,"&gt;"&amp;P$8)</f>
        <v>0</v>
      </c>
      <c r="R24" s="43">
        <f>SUMIFS('Journal Entries'!$L:$L,'Journal Entries'!$K:$K,$C24,'Journal Entries'!$C:$C,"&lt;="&amp;R$8,'Journal Entries'!$C:$C,"&gt;"&amp;Q$8)</f>
        <v>0</v>
      </c>
      <c r="S24" s="43">
        <f>SUMIFS('Journal Entries'!$L:$L,'Journal Entries'!$K:$K,$C24,'Journal Entries'!$C:$C,"&lt;="&amp;S$8,'Journal Entries'!$C:$C,"&gt;"&amp;R$8)</f>
        <v>0</v>
      </c>
      <c r="T24" s="43">
        <f>SUMIFS('Journal Entries'!$L:$L,'Journal Entries'!$K:$K,$C24,'Journal Entries'!$C:$C,"&lt;="&amp;T$8,'Journal Entries'!$C:$C,"&gt;"&amp;S$8)</f>
        <v>0</v>
      </c>
      <c r="U24" s="43">
        <f>SUMIFS('Journal Entries'!$L:$L,'Journal Entries'!$K:$K,$C24,'Journal Entries'!$C:$C,"&lt;="&amp;U$8,'Journal Entries'!$C:$C,"&gt;"&amp;T$8)</f>
        <v>0</v>
      </c>
      <c r="V24" s="43">
        <f>SUMIFS('Journal Entries'!$L:$L,'Journal Entries'!$K:$K,$C24,'Journal Entries'!$C:$C,"&lt;="&amp;V$8,'Journal Entries'!$C:$C,"&gt;"&amp;U$8)</f>
        <v>0</v>
      </c>
      <c r="W24" s="43">
        <f>SUMIFS('Journal Entries'!$L:$L,'Journal Entries'!$K:$K,$C24,'Journal Entries'!$C:$C,"&lt;="&amp;W$8,'Journal Entries'!$C:$C,"&gt;"&amp;V$8)</f>
        <v>0</v>
      </c>
      <c r="X24" s="43">
        <f>SUMIFS('Journal Entries'!$L:$L,'Journal Entries'!$K:$K,$C24,'Journal Entries'!$C:$C,"&lt;="&amp;X$8,'Journal Entries'!$C:$C,"&gt;"&amp;W$8)</f>
        <v>0</v>
      </c>
      <c r="Y24" s="43">
        <f>SUMIFS('Journal Entries'!$L:$L,'Journal Entries'!$K:$K,$C24,'Journal Entries'!$C:$C,"&lt;="&amp;Y$8,'Journal Entries'!$C:$C,"&gt;"&amp;X$8)</f>
        <v>0</v>
      </c>
      <c r="Z24" s="43">
        <f>SUMIFS('Journal Entries'!$L:$L,'Journal Entries'!$K:$K,$C24,'Journal Entries'!$C:$C,"&lt;="&amp;Z$8,'Journal Entries'!$C:$C,"&gt;"&amp;Y$8)</f>
        <v>0</v>
      </c>
      <c r="AA24" s="43">
        <f>SUMIFS('Journal Entries'!$L:$L,'Journal Entries'!$K:$K,$C24,'Journal Entries'!$C:$C,"&lt;="&amp;AA$8,'Journal Entries'!$C:$C,"&gt;"&amp;Z$8)</f>
        <v>0</v>
      </c>
      <c r="AB24" s="43">
        <f>SUMIFS('Journal Entries'!$L:$L,'Journal Entries'!$K:$K,$C24,'Journal Entries'!$C:$C,"&lt;="&amp;AB$8,'Journal Entries'!$C:$C,"&gt;"&amp;AA$8)</f>
        <v>0</v>
      </c>
      <c r="AC24" s="43">
        <f>SUMIFS('Journal Entries'!$L:$L,'Journal Entries'!$K:$K,$C24,'Journal Entries'!$C:$C,"&lt;="&amp;AC$8,'Journal Entries'!$C:$C,"&gt;"&amp;AB$8)</f>
        <v>0</v>
      </c>
      <c r="AD24" s="43">
        <f>SUMIFS('Journal Entries'!$L:$L,'Journal Entries'!$K:$K,$C24,'Journal Entries'!$C:$C,"&lt;="&amp;AD$8,'Journal Entries'!$C:$C,"&gt;"&amp;AC$8)</f>
        <v>0</v>
      </c>
      <c r="AE24" s="43">
        <f>SUMIFS('Journal Entries'!$L:$L,'Journal Entries'!$K:$K,$C24,'Journal Entries'!$C:$C,"&lt;="&amp;AE$8,'Journal Entries'!$C:$C,"&gt;"&amp;AD$8)</f>
        <v>0</v>
      </c>
      <c r="AF24" s="43">
        <f>SUMIFS('Journal Entries'!$L:$L,'Journal Entries'!$K:$K,$C24,'Journal Entries'!$C:$C,"&lt;="&amp;AF$8,'Journal Entries'!$C:$C,"&gt;"&amp;AE$8)</f>
        <v>0</v>
      </c>
      <c r="AG24" s="43">
        <f>SUMIFS('Journal Entries'!$L:$L,'Journal Entries'!$K:$K,$C24,'Journal Entries'!$C:$C,"&lt;="&amp;AG$8,'Journal Entries'!$C:$C,"&gt;"&amp;AF$8)</f>
        <v>0</v>
      </c>
      <c r="AH24" s="43">
        <f>SUMIFS('Journal Entries'!$L:$L,'Journal Entries'!$K:$K,$C24,'Journal Entries'!$C:$C,"&lt;="&amp;AH$8,'Journal Entries'!$C:$C,"&gt;"&amp;AG$8)</f>
        <v>0</v>
      </c>
      <c r="AI24" s="43">
        <f>SUMIFS('Journal Entries'!$L:$L,'Journal Entries'!$K:$K,$C24,'Journal Entries'!$C:$C,"&lt;="&amp;AI$8,'Journal Entries'!$C:$C,"&gt;"&amp;AH$8)</f>
        <v>0</v>
      </c>
      <c r="AJ24" s="43">
        <f>SUMIFS('Journal Entries'!$L:$L,'Journal Entries'!$K:$K,$C24,'Journal Entries'!$C:$C,"&lt;="&amp;AJ$8,'Journal Entries'!$C:$C,"&gt;"&amp;AI$8)</f>
        <v>0</v>
      </c>
      <c r="AK24" s="43">
        <f>SUMIFS('Journal Entries'!$L:$L,'Journal Entries'!$K:$K,$C24,'Journal Entries'!$C:$C,"&lt;="&amp;AK$8,'Journal Entries'!$C:$C,"&gt;"&amp;AJ$8)</f>
        <v>0</v>
      </c>
      <c r="AL24" s="43">
        <f>SUMIFS('Journal Entries'!$L:$L,'Journal Entries'!$K:$K,$C24,'Journal Entries'!$C:$C,"&lt;="&amp;AL$8,'Journal Entries'!$C:$C,"&gt;"&amp;AK$8)</f>
        <v>0</v>
      </c>
      <c r="AM24" s="43">
        <f>SUMIFS('Journal Entries'!$L:$L,'Journal Entries'!$K:$K,$C24,'Journal Entries'!$C:$C,"&lt;="&amp;AM$8,'Journal Entries'!$C:$C,"&gt;"&amp;AL$8)</f>
        <v>0</v>
      </c>
      <c r="AN24" s="43">
        <f>SUMIFS('Journal Entries'!$L:$L,'Journal Entries'!$K:$K,$C24,'Journal Entries'!$C:$C,"&lt;="&amp;AN$8,'Journal Entries'!$C:$C,"&gt;"&amp;AM$8)</f>
        <v>0</v>
      </c>
      <c r="AO24" s="43">
        <f>SUMIFS('Journal Entries'!$L:$L,'Journal Entries'!$K:$K,$C24,'Journal Entries'!$C:$C,"&lt;="&amp;AO$8,'Journal Entries'!$C:$C,"&gt;"&amp;AN$8)</f>
        <v>0</v>
      </c>
      <c r="AP24" s="43">
        <f>SUMIFS('Journal Entries'!$L:$L,'Journal Entries'!$K:$K,$C24,'Journal Entries'!$C:$C,"&lt;="&amp;AP$8,'Journal Entries'!$C:$C,"&gt;"&amp;AO$8)</f>
        <v>0</v>
      </c>
      <c r="AQ24" s="43">
        <f>SUMIFS('Journal Entries'!$L:$L,'Journal Entries'!$K:$K,$C24,'Journal Entries'!$C:$C,"&lt;="&amp;AQ$8,'Journal Entries'!$C:$C,"&gt;"&amp;AP$8)</f>
        <v>0</v>
      </c>
      <c r="AR24" s="43">
        <f>SUMIFS('Journal Entries'!$L:$L,'Journal Entries'!$K:$K,$C24,'Journal Entries'!$C:$C,"&lt;="&amp;AR$8,'Journal Entries'!$C:$C,"&gt;"&amp;AQ$8)</f>
        <v>0</v>
      </c>
      <c r="AS24" s="43">
        <f>SUMIFS('Journal Entries'!$L:$L,'Journal Entries'!$K:$K,$C24,'Journal Entries'!$C:$C,"&lt;="&amp;AS$8,'Journal Entries'!$C:$C,"&gt;"&amp;AR$8)</f>
        <v>0</v>
      </c>
      <c r="AT24" s="43">
        <f>SUMIFS('Journal Entries'!$L:$L,'Journal Entries'!$K:$K,$C24,'Journal Entries'!$C:$C,"&lt;="&amp;AT$8,'Journal Entries'!$C:$C,"&gt;"&amp;AS$8)</f>
        <v>0</v>
      </c>
      <c r="AU24" s="43">
        <f>SUMIFS('Journal Entries'!$L:$L,'Journal Entries'!$K:$K,$C24,'Journal Entries'!$C:$C,"&lt;="&amp;AU$8,'Journal Entries'!$C:$C,"&gt;"&amp;AT$8)</f>
        <v>0</v>
      </c>
      <c r="AV24" s="43">
        <f>SUMIFS('Journal Entries'!$L:$L,'Journal Entries'!$K:$K,$C24,'Journal Entries'!$C:$C,"&lt;="&amp;AV$8,'Journal Entries'!$C:$C,"&gt;"&amp;AU$8)</f>
        <v>0</v>
      </c>
      <c r="AW24" s="43">
        <f>SUMIFS('Journal Entries'!$L:$L,'Journal Entries'!$K:$K,$C24,'Journal Entries'!$C:$C,"&lt;="&amp;AW$8,'Journal Entries'!$C:$C,"&gt;"&amp;AV$8)</f>
        <v>0</v>
      </c>
      <c r="AX24" s="43">
        <f>SUMIFS('Journal Entries'!$L:$L,'Journal Entries'!$K:$K,$C24,'Journal Entries'!$C:$C,"&lt;="&amp;AX$8,'Journal Entries'!$C:$C,"&gt;"&amp;AW$8)</f>
        <v>0</v>
      </c>
      <c r="AY24" s="43">
        <f>SUMIFS('Journal Entries'!$L:$L,'Journal Entries'!$K:$K,$C24,'Journal Entries'!$C:$C,"&lt;="&amp;AY$8,'Journal Entries'!$C:$C,"&gt;"&amp;AX$8)</f>
        <v>0</v>
      </c>
      <c r="AZ24" s="43">
        <f>SUMIFS('Journal Entries'!$L:$L,'Journal Entries'!$K:$K,$C24,'Journal Entries'!$C:$C,"&lt;="&amp;AZ$8,'Journal Entries'!$C:$C,"&gt;"&amp;AY$8)</f>
        <v>0</v>
      </c>
      <c r="BA24" s="43">
        <f>SUMIFS('Journal Entries'!$L:$L,'Journal Entries'!$K:$K,$C24,'Journal Entries'!$C:$C,"&lt;="&amp;BA$8,'Journal Entries'!$C:$C,"&gt;"&amp;AZ$8)</f>
        <v>0</v>
      </c>
      <c r="BB24" s="43">
        <f>SUMIFS('Journal Entries'!$L:$L,'Journal Entries'!$K:$K,$C24,'Journal Entries'!$C:$C,"&lt;="&amp;BB$8,'Journal Entries'!$C:$C,"&gt;"&amp;BA$8)</f>
        <v>0</v>
      </c>
      <c r="BC24" s="43">
        <f>SUMIFS('Journal Entries'!$L:$L,'Journal Entries'!$K:$K,$C24,'Journal Entries'!$C:$C,"&lt;="&amp;BC$8,'Journal Entries'!$C:$C,"&gt;"&amp;BB$8)</f>
        <v>0</v>
      </c>
      <c r="BD24" s="43">
        <f>SUMIFS('Journal Entries'!$L:$L,'Journal Entries'!$K:$K,$C24,'Journal Entries'!$C:$C,"&lt;="&amp;BD$8,'Journal Entries'!$C:$C,"&gt;"&amp;BC$8)</f>
        <v>0</v>
      </c>
      <c r="BE24" s="43">
        <f>SUMIFS('Journal Entries'!$L:$L,'Journal Entries'!$K:$K,$C24,'Journal Entries'!$C:$C,"&lt;="&amp;BE$8,'Journal Entries'!$C:$C,"&gt;"&amp;BD$8)</f>
        <v>0</v>
      </c>
      <c r="BF24" s="43">
        <f>SUMIFS('Journal Entries'!$L:$L,'Journal Entries'!$K:$K,$C24,'Journal Entries'!$C:$C,"&lt;="&amp;BF$8,'Journal Entries'!$C:$C,"&gt;"&amp;BE$8)</f>
        <v>0</v>
      </c>
      <c r="BG24" s="43">
        <f>SUMIFS('Journal Entries'!$L:$L,'Journal Entries'!$K:$K,$C24,'Journal Entries'!$C:$C,"&lt;="&amp;BG$8,'Journal Entries'!$C:$C,"&gt;"&amp;BF$8)</f>
        <v>0</v>
      </c>
      <c r="BH24" s="43">
        <f>SUMIFS('Journal Entries'!$L:$L,'Journal Entries'!$K:$K,$C24,'Journal Entries'!$C:$C,"&lt;="&amp;BH$8,'Journal Entries'!$C:$C,"&gt;"&amp;BG$8)</f>
        <v>0</v>
      </c>
      <c r="BI24" s="43">
        <f>SUMIFS('Journal Entries'!$L:$L,'Journal Entries'!$K:$K,$C24,'Journal Entries'!$C:$C,"&lt;="&amp;BI$8,'Journal Entries'!$C:$C,"&gt;"&amp;BH$8)</f>
        <v>0</v>
      </c>
      <c r="BJ24" s="43">
        <f>SUMIFS('Journal Entries'!$L:$L,'Journal Entries'!$K:$K,$C24,'Journal Entries'!$C:$C,"&lt;="&amp;BJ$8,'Journal Entries'!$C:$C,"&gt;"&amp;BI$8)</f>
        <v>0</v>
      </c>
      <c r="BK24" s="43">
        <f>SUMIFS('Journal Entries'!$L:$L,'Journal Entries'!$K:$K,$C24,'Journal Entries'!$C:$C,"&lt;="&amp;BK$8,'Journal Entries'!$C:$C,"&gt;"&amp;BJ$8)</f>
        <v>0</v>
      </c>
      <c r="BL24" s="43">
        <f>SUMIFS('Journal Entries'!$L:$L,'Journal Entries'!$K:$K,$C24,'Journal Entries'!$C:$C,"&lt;="&amp;BL$8,'Journal Entries'!$C:$C,"&gt;"&amp;BK$8)</f>
        <v>0</v>
      </c>
    </row>
    <row r="25" spans="2:64" x14ac:dyDescent="0.25">
      <c r="B25" s="10">
        <v>2030</v>
      </c>
      <c r="C25" s="10" t="str">
        <f>VLOOKUP(B25,'Chart of Accounts'!$B$3:$C$95,2,0)</f>
        <v>Performance fee payable</v>
      </c>
      <c r="D25" s="525">
        <f t="shared" si="2"/>
        <v>0</v>
      </c>
      <c r="E25" s="43">
        <f>SUMIFS('Journal Entries'!$L:$L,'Journal Entries'!$K:$K,$C25,'Journal Entries'!$C:$C,"&lt;="&amp;E$8,'Journal Entries'!$C:$C,"&gt;"&amp;D$8)</f>
        <v>0</v>
      </c>
      <c r="F25" s="43">
        <f>SUMIFS('Journal Entries'!$L:$L,'Journal Entries'!$K:$K,$C25,'Journal Entries'!$C:$C,"&lt;="&amp;F$8,'Journal Entries'!$C:$C,"&gt;"&amp;E$8)</f>
        <v>0</v>
      </c>
      <c r="G25" s="43">
        <f>SUMIFS('Journal Entries'!$L:$L,'Journal Entries'!$K:$K,$C25,'Journal Entries'!$C:$C,"&lt;="&amp;G$8,'Journal Entries'!$C:$C,"&gt;"&amp;F$8)</f>
        <v>0</v>
      </c>
      <c r="H25" s="43">
        <f>SUMIFS('Journal Entries'!$L:$L,'Journal Entries'!$K:$K,$C25,'Journal Entries'!$C:$C,"&lt;="&amp;H$8,'Journal Entries'!$C:$C,"&gt;"&amp;G$8)</f>
        <v>0</v>
      </c>
      <c r="I25" s="43">
        <f>SUMIFS('Journal Entries'!$L:$L,'Journal Entries'!$K:$K,$C25,'Journal Entries'!$C:$C,"&lt;="&amp;I$8,'Journal Entries'!$C:$C,"&gt;"&amp;H$8)</f>
        <v>0</v>
      </c>
      <c r="J25" s="43">
        <f>SUMIFS('Journal Entries'!$L:$L,'Journal Entries'!$K:$K,$C25,'Journal Entries'!$C:$C,"&lt;="&amp;J$8,'Journal Entries'!$C:$C,"&gt;"&amp;I$8)</f>
        <v>0</v>
      </c>
      <c r="K25" s="43">
        <f>SUMIFS('Journal Entries'!$L:$L,'Journal Entries'!$K:$K,$C25,'Journal Entries'!$C:$C,"&lt;="&amp;K$8,'Journal Entries'!$C:$C,"&gt;"&amp;J$8)</f>
        <v>0</v>
      </c>
      <c r="L25" s="43">
        <f>SUMIFS('Journal Entries'!$L:$L,'Journal Entries'!$K:$K,$C25,'Journal Entries'!$C:$C,"&lt;="&amp;L$8,'Journal Entries'!$C:$C,"&gt;"&amp;K$8)</f>
        <v>0</v>
      </c>
      <c r="M25" s="43">
        <f>SUMIFS('Journal Entries'!$L:$L,'Journal Entries'!$K:$K,$C25,'Journal Entries'!$C:$C,"&lt;="&amp;M$8,'Journal Entries'!$C:$C,"&gt;"&amp;L$8)</f>
        <v>0</v>
      </c>
      <c r="N25" s="43">
        <f>SUMIFS('Journal Entries'!$L:$L,'Journal Entries'!$K:$K,$C25,'Journal Entries'!$C:$C,"&lt;="&amp;N$8,'Journal Entries'!$C:$C,"&gt;"&amp;M$8)</f>
        <v>0</v>
      </c>
      <c r="O25" s="43">
        <f>SUMIFS('Journal Entries'!$L:$L,'Journal Entries'!$K:$K,$C25,'Journal Entries'!$C:$C,"&lt;="&amp;O$8,'Journal Entries'!$C:$C,"&gt;"&amp;N$8)</f>
        <v>0</v>
      </c>
      <c r="P25" s="43">
        <f>SUMIFS('Journal Entries'!$L:$L,'Journal Entries'!$K:$K,$C25,'Journal Entries'!$C:$C,"&lt;="&amp;P$8,'Journal Entries'!$C:$C,"&gt;"&amp;O$8)</f>
        <v>0</v>
      </c>
      <c r="Q25" s="43">
        <f>SUMIFS('Journal Entries'!$L:$L,'Journal Entries'!$K:$K,$C25,'Journal Entries'!$C:$C,"&lt;="&amp;Q$8,'Journal Entries'!$C:$C,"&gt;"&amp;P$8)</f>
        <v>0</v>
      </c>
      <c r="R25" s="43">
        <f>SUMIFS('Journal Entries'!$L:$L,'Journal Entries'!$K:$K,$C25,'Journal Entries'!$C:$C,"&lt;="&amp;R$8,'Journal Entries'!$C:$C,"&gt;"&amp;Q$8)</f>
        <v>0</v>
      </c>
      <c r="S25" s="43">
        <f>SUMIFS('Journal Entries'!$L:$L,'Journal Entries'!$K:$K,$C25,'Journal Entries'!$C:$C,"&lt;="&amp;S$8,'Journal Entries'!$C:$C,"&gt;"&amp;R$8)</f>
        <v>0</v>
      </c>
      <c r="T25" s="43">
        <f>SUMIFS('Journal Entries'!$L:$L,'Journal Entries'!$K:$K,$C25,'Journal Entries'!$C:$C,"&lt;="&amp;T$8,'Journal Entries'!$C:$C,"&gt;"&amp;S$8)</f>
        <v>0</v>
      </c>
      <c r="U25" s="43">
        <f>SUMIFS('Journal Entries'!$L:$L,'Journal Entries'!$K:$K,$C25,'Journal Entries'!$C:$C,"&lt;="&amp;U$8,'Journal Entries'!$C:$C,"&gt;"&amp;T$8)</f>
        <v>0</v>
      </c>
      <c r="V25" s="43">
        <f>SUMIFS('Journal Entries'!$L:$L,'Journal Entries'!$K:$K,$C25,'Journal Entries'!$C:$C,"&lt;="&amp;V$8,'Journal Entries'!$C:$C,"&gt;"&amp;U$8)</f>
        <v>0</v>
      </c>
      <c r="W25" s="43">
        <f>SUMIFS('Journal Entries'!$L:$L,'Journal Entries'!$K:$K,$C25,'Journal Entries'!$C:$C,"&lt;="&amp;W$8,'Journal Entries'!$C:$C,"&gt;"&amp;V$8)</f>
        <v>0</v>
      </c>
      <c r="X25" s="43">
        <f>SUMIFS('Journal Entries'!$L:$L,'Journal Entries'!$K:$K,$C25,'Journal Entries'!$C:$C,"&lt;="&amp;X$8,'Journal Entries'!$C:$C,"&gt;"&amp;W$8)</f>
        <v>0</v>
      </c>
      <c r="Y25" s="43">
        <f>SUMIFS('Journal Entries'!$L:$L,'Journal Entries'!$K:$K,$C25,'Journal Entries'!$C:$C,"&lt;="&amp;Y$8,'Journal Entries'!$C:$C,"&gt;"&amp;X$8)</f>
        <v>0</v>
      </c>
      <c r="Z25" s="43">
        <f>SUMIFS('Journal Entries'!$L:$L,'Journal Entries'!$K:$K,$C25,'Journal Entries'!$C:$C,"&lt;="&amp;Z$8,'Journal Entries'!$C:$C,"&gt;"&amp;Y$8)</f>
        <v>0</v>
      </c>
      <c r="AA25" s="43">
        <f>SUMIFS('Journal Entries'!$L:$L,'Journal Entries'!$K:$K,$C25,'Journal Entries'!$C:$C,"&lt;="&amp;AA$8,'Journal Entries'!$C:$C,"&gt;"&amp;Z$8)</f>
        <v>0</v>
      </c>
      <c r="AB25" s="43">
        <f>SUMIFS('Journal Entries'!$L:$L,'Journal Entries'!$K:$K,$C25,'Journal Entries'!$C:$C,"&lt;="&amp;AB$8,'Journal Entries'!$C:$C,"&gt;"&amp;AA$8)</f>
        <v>0</v>
      </c>
      <c r="AC25" s="43">
        <f>SUMIFS('Journal Entries'!$L:$L,'Journal Entries'!$K:$K,$C25,'Journal Entries'!$C:$C,"&lt;="&amp;AC$8,'Journal Entries'!$C:$C,"&gt;"&amp;AB$8)</f>
        <v>0</v>
      </c>
      <c r="AD25" s="43">
        <f>SUMIFS('Journal Entries'!$L:$L,'Journal Entries'!$K:$K,$C25,'Journal Entries'!$C:$C,"&lt;="&amp;AD$8,'Journal Entries'!$C:$C,"&gt;"&amp;AC$8)</f>
        <v>0</v>
      </c>
      <c r="AE25" s="43">
        <f>SUMIFS('Journal Entries'!$L:$L,'Journal Entries'!$K:$K,$C25,'Journal Entries'!$C:$C,"&lt;="&amp;AE$8,'Journal Entries'!$C:$C,"&gt;"&amp;AD$8)</f>
        <v>0</v>
      </c>
      <c r="AF25" s="43">
        <f>SUMIFS('Journal Entries'!$L:$L,'Journal Entries'!$K:$K,$C25,'Journal Entries'!$C:$C,"&lt;="&amp;AF$8,'Journal Entries'!$C:$C,"&gt;"&amp;AE$8)</f>
        <v>0</v>
      </c>
      <c r="AG25" s="43">
        <f>SUMIFS('Journal Entries'!$L:$L,'Journal Entries'!$K:$K,$C25,'Journal Entries'!$C:$C,"&lt;="&amp;AG$8,'Journal Entries'!$C:$C,"&gt;"&amp;AF$8)</f>
        <v>0</v>
      </c>
      <c r="AH25" s="43">
        <f>SUMIFS('Journal Entries'!$L:$L,'Journal Entries'!$K:$K,$C25,'Journal Entries'!$C:$C,"&lt;="&amp;AH$8,'Journal Entries'!$C:$C,"&gt;"&amp;AG$8)</f>
        <v>0</v>
      </c>
      <c r="AI25" s="43">
        <f>SUMIFS('Journal Entries'!$L:$L,'Journal Entries'!$K:$K,$C25,'Journal Entries'!$C:$C,"&lt;="&amp;AI$8,'Journal Entries'!$C:$C,"&gt;"&amp;AH$8)</f>
        <v>0</v>
      </c>
      <c r="AJ25" s="43">
        <f>SUMIFS('Journal Entries'!$L:$L,'Journal Entries'!$K:$K,$C25,'Journal Entries'!$C:$C,"&lt;="&amp;AJ$8,'Journal Entries'!$C:$C,"&gt;"&amp;AI$8)</f>
        <v>0</v>
      </c>
      <c r="AK25" s="43">
        <f>SUMIFS('Journal Entries'!$L:$L,'Journal Entries'!$K:$K,$C25,'Journal Entries'!$C:$C,"&lt;="&amp;AK$8,'Journal Entries'!$C:$C,"&gt;"&amp;AJ$8)</f>
        <v>0</v>
      </c>
      <c r="AL25" s="43">
        <f>SUMIFS('Journal Entries'!$L:$L,'Journal Entries'!$K:$K,$C25,'Journal Entries'!$C:$C,"&lt;="&amp;AL$8,'Journal Entries'!$C:$C,"&gt;"&amp;AK$8)</f>
        <v>0</v>
      </c>
      <c r="AM25" s="43">
        <f>SUMIFS('Journal Entries'!$L:$L,'Journal Entries'!$K:$K,$C25,'Journal Entries'!$C:$C,"&lt;="&amp;AM$8,'Journal Entries'!$C:$C,"&gt;"&amp;AL$8)</f>
        <v>0</v>
      </c>
      <c r="AN25" s="43">
        <f>SUMIFS('Journal Entries'!$L:$L,'Journal Entries'!$K:$K,$C25,'Journal Entries'!$C:$C,"&lt;="&amp;AN$8,'Journal Entries'!$C:$C,"&gt;"&amp;AM$8)</f>
        <v>0</v>
      </c>
      <c r="AO25" s="43">
        <f>SUMIFS('Journal Entries'!$L:$L,'Journal Entries'!$K:$K,$C25,'Journal Entries'!$C:$C,"&lt;="&amp;AO$8,'Journal Entries'!$C:$C,"&gt;"&amp;AN$8)</f>
        <v>0</v>
      </c>
      <c r="AP25" s="43">
        <f>SUMIFS('Journal Entries'!$L:$L,'Journal Entries'!$K:$K,$C25,'Journal Entries'!$C:$C,"&lt;="&amp;AP$8,'Journal Entries'!$C:$C,"&gt;"&amp;AO$8)</f>
        <v>0</v>
      </c>
      <c r="AQ25" s="43">
        <f>SUMIFS('Journal Entries'!$L:$L,'Journal Entries'!$K:$K,$C25,'Journal Entries'!$C:$C,"&lt;="&amp;AQ$8,'Journal Entries'!$C:$C,"&gt;"&amp;AP$8)</f>
        <v>0</v>
      </c>
      <c r="AR25" s="43">
        <f>SUMIFS('Journal Entries'!$L:$L,'Journal Entries'!$K:$K,$C25,'Journal Entries'!$C:$C,"&lt;="&amp;AR$8,'Journal Entries'!$C:$C,"&gt;"&amp;AQ$8)</f>
        <v>0</v>
      </c>
      <c r="AS25" s="43">
        <f>SUMIFS('Journal Entries'!$L:$L,'Journal Entries'!$K:$K,$C25,'Journal Entries'!$C:$C,"&lt;="&amp;AS$8,'Journal Entries'!$C:$C,"&gt;"&amp;AR$8)</f>
        <v>0</v>
      </c>
      <c r="AT25" s="43">
        <f>SUMIFS('Journal Entries'!$L:$L,'Journal Entries'!$K:$K,$C25,'Journal Entries'!$C:$C,"&lt;="&amp;AT$8,'Journal Entries'!$C:$C,"&gt;"&amp;AS$8)</f>
        <v>0</v>
      </c>
      <c r="AU25" s="43">
        <f>SUMIFS('Journal Entries'!$L:$L,'Journal Entries'!$K:$K,$C25,'Journal Entries'!$C:$C,"&lt;="&amp;AU$8,'Journal Entries'!$C:$C,"&gt;"&amp;AT$8)</f>
        <v>0</v>
      </c>
      <c r="AV25" s="43">
        <f>SUMIFS('Journal Entries'!$L:$L,'Journal Entries'!$K:$K,$C25,'Journal Entries'!$C:$C,"&lt;="&amp;AV$8,'Journal Entries'!$C:$C,"&gt;"&amp;AU$8)</f>
        <v>0</v>
      </c>
      <c r="AW25" s="43">
        <f>SUMIFS('Journal Entries'!$L:$L,'Journal Entries'!$K:$K,$C25,'Journal Entries'!$C:$C,"&lt;="&amp;AW$8,'Journal Entries'!$C:$C,"&gt;"&amp;AV$8)</f>
        <v>0</v>
      </c>
      <c r="AX25" s="43">
        <f>SUMIFS('Journal Entries'!$L:$L,'Journal Entries'!$K:$K,$C25,'Journal Entries'!$C:$C,"&lt;="&amp;AX$8,'Journal Entries'!$C:$C,"&gt;"&amp;AW$8)</f>
        <v>0</v>
      </c>
      <c r="AY25" s="43">
        <f>SUMIFS('Journal Entries'!$L:$L,'Journal Entries'!$K:$K,$C25,'Journal Entries'!$C:$C,"&lt;="&amp;AY$8,'Journal Entries'!$C:$C,"&gt;"&amp;AX$8)</f>
        <v>0</v>
      </c>
      <c r="AZ25" s="43">
        <f>SUMIFS('Journal Entries'!$L:$L,'Journal Entries'!$K:$K,$C25,'Journal Entries'!$C:$C,"&lt;="&amp;AZ$8,'Journal Entries'!$C:$C,"&gt;"&amp;AY$8)</f>
        <v>0</v>
      </c>
      <c r="BA25" s="43">
        <f>SUMIFS('Journal Entries'!$L:$L,'Journal Entries'!$K:$K,$C25,'Journal Entries'!$C:$C,"&lt;="&amp;BA$8,'Journal Entries'!$C:$C,"&gt;"&amp;AZ$8)</f>
        <v>0</v>
      </c>
      <c r="BB25" s="43">
        <f>SUMIFS('Journal Entries'!$L:$L,'Journal Entries'!$K:$K,$C25,'Journal Entries'!$C:$C,"&lt;="&amp;BB$8,'Journal Entries'!$C:$C,"&gt;"&amp;BA$8)</f>
        <v>0</v>
      </c>
      <c r="BC25" s="43">
        <f>SUMIFS('Journal Entries'!$L:$L,'Journal Entries'!$K:$K,$C25,'Journal Entries'!$C:$C,"&lt;="&amp;BC$8,'Journal Entries'!$C:$C,"&gt;"&amp;BB$8)</f>
        <v>0</v>
      </c>
      <c r="BD25" s="43">
        <f>SUMIFS('Journal Entries'!$L:$L,'Journal Entries'!$K:$K,$C25,'Journal Entries'!$C:$C,"&lt;="&amp;BD$8,'Journal Entries'!$C:$C,"&gt;"&amp;BC$8)</f>
        <v>0</v>
      </c>
      <c r="BE25" s="43">
        <f>SUMIFS('Journal Entries'!$L:$L,'Journal Entries'!$K:$K,$C25,'Journal Entries'!$C:$C,"&lt;="&amp;BE$8,'Journal Entries'!$C:$C,"&gt;"&amp;BD$8)</f>
        <v>0</v>
      </c>
      <c r="BF25" s="43">
        <f>SUMIFS('Journal Entries'!$L:$L,'Journal Entries'!$K:$K,$C25,'Journal Entries'!$C:$C,"&lt;="&amp;BF$8,'Journal Entries'!$C:$C,"&gt;"&amp;BE$8)</f>
        <v>0</v>
      </c>
      <c r="BG25" s="43">
        <f>SUMIFS('Journal Entries'!$L:$L,'Journal Entries'!$K:$K,$C25,'Journal Entries'!$C:$C,"&lt;="&amp;BG$8,'Journal Entries'!$C:$C,"&gt;"&amp;BF$8)</f>
        <v>0</v>
      </c>
      <c r="BH25" s="43">
        <f>SUMIFS('Journal Entries'!$L:$L,'Journal Entries'!$K:$K,$C25,'Journal Entries'!$C:$C,"&lt;="&amp;BH$8,'Journal Entries'!$C:$C,"&gt;"&amp;BG$8)</f>
        <v>0</v>
      </c>
      <c r="BI25" s="43">
        <f>SUMIFS('Journal Entries'!$L:$L,'Journal Entries'!$K:$K,$C25,'Journal Entries'!$C:$C,"&lt;="&amp;BI$8,'Journal Entries'!$C:$C,"&gt;"&amp;BH$8)</f>
        <v>0</v>
      </c>
      <c r="BJ25" s="43">
        <f>SUMIFS('Journal Entries'!$L:$L,'Journal Entries'!$K:$K,$C25,'Journal Entries'!$C:$C,"&lt;="&amp;BJ$8,'Journal Entries'!$C:$C,"&gt;"&amp;BI$8)</f>
        <v>0</v>
      </c>
      <c r="BK25" s="43">
        <f>SUMIFS('Journal Entries'!$L:$L,'Journal Entries'!$K:$K,$C25,'Journal Entries'!$C:$C,"&lt;="&amp;BK$8,'Journal Entries'!$C:$C,"&gt;"&amp;BJ$8)</f>
        <v>0</v>
      </c>
      <c r="BL25" s="43">
        <f>SUMIFS('Journal Entries'!$L:$L,'Journal Entries'!$K:$K,$C25,'Journal Entries'!$C:$C,"&lt;="&amp;BL$8,'Journal Entries'!$C:$C,"&gt;"&amp;BK$8)</f>
        <v>0</v>
      </c>
    </row>
    <row r="26" spans="2:64" x14ac:dyDescent="0.25">
      <c r="B26" s="10">
        <v>2040</v>
      </c>
      <c r="C26" s="10" t="str">
        <f>VLOOKUP(B26,'Chart of Accounts'!$B$3:$C$95,2,0)</f>
        <v>Capital distribution payable</v>
      </c>
      <c r="D26" s="525">
        <f t="shared" si="2"/>
        <v>0</v>
      </c>
      <c r="E26" s="43">
        <f>SUMIFS('Journal Entries'!$L:$L,'Journal Entries'!$K:$K,$C26,'Journal Entries'!$C:$C,"&lt;="&amp;E$8,'Journal Entries'!$C:$C,"&gt;"&amp;D$8)</f>
        <v>0</v>
      </c>
      <c r="F26" s="43">
        <f>SUMIFS('Journal Entries'!$L:$L,'Journal Entries'!$K:$K,$C26,'Journal Entries'!$C:$C,"&lt;="&amp;F$8,'Journal Entries'!$C:$C,"&gt;"&amp;E$8)</f>
        <v>0</v>
      </c>
      <c r="G26" s="43">
        <f>SUMIFS('Journal Entries'!$L:$L,'Journal Entries'!$K:$K,$C26,'Journal Entries'!$C:$C,"&lt;="&amp;G$8,'Journal Entries'!$C:$C,"&gt;"&amp;F$8)</f>
        <v>0</v>
      </c>
      <c r="H26" s="43">
        <f>SUMIFS('Journal Entries'!$L:$L,'Journal Entries'!$K:$K,$C26,'Journal Entries'!$C:$C,"&lt;="&amp;H$8,'Journal Entries'!$C:$C,"&gt;"&amp;G$8)</f>
        <v>0</v>
      </c>
      <c r="I26" s="43">
        <f>SUMIFS('Journal Entries'!$L:$L,'Journal Entries'!$K:$K,$C26,'Journal Entries'!$C:$C,"&lt;="&amp;I$8,'Journal Entries'!$C:$C,"&gt;"&amp;H$8)</f>
        <v>0</v>
      </c>
      <c r="J26" s="43">
        <f>SUMIFS('Journal Entries'!$L:$L,'Journal Entries'!$K:$K,$C26,'Journal Entries'!$C:$C,"&lt;="&amp;J$8,'Journal Entries'!$C:$C,"&gt;"&amp;I$8)</f>
        <v>0</v>
      </c>
      <c r="K26" s="43">
        <f>SUMIFS('Journal Entries'!$L:$L,'Journal Entries'!$K:$K,$C26,'Journal Entries'!$C:$C,"&lt;="&amp;K$8,'Journal Entries'!$C:$C,"&gt;"&amp;J$8)</f>
        <v>0</v>
      </c>
      <c r="L26" s="43">
        <f>SUMIFS('Journal Entries'!$L:$L,'Journal Entries'!$K:$K,$C26,'Journal Entries'!$C:$C,"&lt;="&amp;L$8,'Journal Entries'!$C:$C,"&gt;"&amp;K$8)</f>
        <v>0</v>
      </c>
      <c r="M26" s="43">
        <f>SUMIFS('Journal Entries'!$L:$L,'Journal Entries'!$K:$K,$C26,'Journal Entries'!$C:$C,"&lt;="&amp;M$8,'Journal Entries'!$C:$C,"&gt;"&amp;L$8)</f>
        <v>0</v>
      </c>
      <c r="N26" s="43">
        <f>SUMIFS('Journal Entries'!$L:$L,'Journal Entries'!$K:$K,$C26,'Journal Entries'!$C:$C,"&lt;="&amp;N$8,'Journal Entries'!$C:$C,"&gt;"&amp;M$8)</f>
        <v>0</v>
      </c>
      <c r="O26" s="43">
        <f>SUMIFS('Journal Entries'!$L:$L,'Journal Entries'!$K:$K,$C26,'Journal Entries'!$C:$C,"&lt;="&amp;O$8,'Journal Entries'!$C:$C,"&gt;"&amp;N$8)</f>
        <v>0</v>
      </c>
      <c r="P26" s="43">
        <f>SUMIFS('Journal Entries'!$L:$L,'Journal Entries'!$K:$K,$C26,'Journal Entries'!$C:$C,"&lt;="&amp;P$8,'Journal Entries'!$C:$C,"&gt;"&amp;O$8)</f>
        <v>0</v>
      </c>
      <c r="Q26" s="43">
        <f>SUMIFS('Journal Entries'!$L:$L,'Journal Entries'!$K:$K,$C26,'Journal Entries'!$C:$C,"&lt;="&amp;Q$8,'Journal Entries'!$C:$C,"&gt;"&amp;P$8)</f>
        <v>0</v>
      </c>
      <c r="R26" s="43">
        <f>SUMIFS('Journal Entries'!$L:$L,'Journal Entries'!$K:$K,$C26,'Journal Entries'!$C:$C,"&lt;="&amp;R$8,'Journal Entries'!$C:$C,"&gt;"&amp;Q$8)</f>
        <v>0</v>
      </c>
      <c r="S26" s="43">
        <f>SUMIFS('Journal Entries'!$L:$L,'Journal Entries'!$K:$K,$C26,'Journal Entries'!$C:$C,"&lt;="&amp;S$8,'Journal Entries'!$C:$C,"&gt;"&amp;R$8)</f>
        <v>0</v>
      </c>
      <c r="T26" s="43">
        <f>SUMIFS('Journal Entries'!$L:$L,'Journal Entries'!$K:$K,$C26,'Journal Entries'!$C:$C,"&lt;="&amp;T$8,'Journal Entries'!$C:$C,"&gt;"&amp;S$8)</f>
        <v>0</v>
      </c>
      <c r="U26" s="43">
        <f>SUMIFS('Journal Entries'!$L:$L,'Journal Entries'!$K:$K,$C26,'Journal Entries'!$C:$C,"&lt;="&amp;U$8,'Journal Entries'!$C:$C,"&gt;"&amp;T$8)</f>
        <v>0</v>
      </c>
      <c r="V26" s="43">
        <f>SUMIFS('Journal Entries'!$L:$L,'Journal Entries'!$K:$K,$C26,'Journal Entries'!$C:$C,"&lt;="&amp;V$8,'Journal Entries'!$C:$C,"&gt;"&amp;U$8)</f>
        <v>0</v>
      </c>
      <c r="W26" s="43">
        <f>SUMIFS('Journal Entries'!$L:$L,'Journal Entries'!$K:$K,$C26,'Journal Entries'!$C:$C,"&lt;="&amp;W$8,'Journal Entries'!$C:$C,"&gt;"&amp;V$8)</f>
        <v>0</v>
      </c>
      <c r="X26" s="43">
        <f>SUMIFS('Journal Entries'!$L:$L,'Journal Entries'!$K:$K,$C26,'Journal Entries'!$C:$C,"&lt;="&amp;X$8,'Journal Entries'!$C:$C,"&gt;"&amp;W$8)</f>
        <v>0</v>
      </c>
      <c r="Y26" s="43">
        <f>SUMIFS('Journal Entries'!$L:$L,'Journal Entries'!$K:$K,$C26,'Journal Entries'!$C:$C,"&lt;="&amp;Y$8,'Journal Entries'!$C:$C,"&gt;"&amp;X$8)</f>
        <v>0</v>
      </c>
      <c r="Z26" s="43">
        <f>SUMIFS('Journal Entries'!$L:$L,'Journal Entries'!$K:$K,$C26,'Journal Entries'!$C:$C,"&lt;="&amp;Z$8,'Journal Entries'!$C:$C,"&gt;"&amp;Y$8)</f>
        <v>0</v>
      </c>
      <c r="AA26" s="43">
        <f>SUMIFS('Journal Entries'!$L:$L,'Journal Entries'!$K:$K,$C26,'Journal Entries'!$C:$C,"&lt;="&amp;AA$8,'Journal Entries'!$C:$C,"&gt;"&amp;Z$8)</f>
        <v>0</v>
      </c>
      <c r="AB26" s="43">
        <f>SUMIFS('Journal Entries'!$L:$L,'Journal Entries'!$K:$K,$C26,'Journal Entries'!$C:$C,"&lt;="&amp;AB$8,'Journal Entries'!$C:$C,"&gt;"&amp;AA$8)</f>
        <v>0</v>
      </c>
      <c r="AC26" s="43">
        <f>SUMIFS('Journal Entries'!$L:$L,'Journal Entries'!$K:$K,$C26,'Journal Entries'!$C:$C,"&lt;="&amp;AC$8,'Journal Entries'!$C:$C,"&gt;"&amp;AB$8)</f>
        <v>0</v>
      </c>
      <c r="AD26" s="43">
        <f>SUMIFS('Journal Entries'!$L:$L,'Journal Entries'!$K:$K,$C26,'Journal Entries'!$C:$C,"&lt;="&amp;AD$8,'Journal Entries'!$C:$C,"&gt;"&amp;AC$8)</f>
        <v>0</v>
      </c>
      <c r="AE26" s="43">
        <f>SUMIFS('Journal Entries'!$L:$L,'Journal Entries'!$K:$K,$C26,'Journal Entries'!$C:$C,"&lt;="&amp;AE$8,'Journal Entries'!$C:$C,"&gt;"&amp;AD$8)</f>
        <v>0</v>
      </c>
      <c r="AF26" s="43">
        <f>SUMIFS('Journal Entries'!$L:$L,'Journal Entries'!$K:$K,$C26,'Journal Entries'!$C:$C,"&lt;="&amp;AF$8,'Journal Entries'!$C:$C,"&gt;"&amp;AE$8)</f>
        <v>0</v>
      </c>
      <c r="AG26" s="43">
        <f>SUMIFS('Journal Entries'!$L:$L,'Journal Entries'!$K:$K,$C26,'Journal Entries'!$C:$C,"&lt;="&amp;AG$8,'Journal Entries'!$C:$C,"&gt;"&amp;AF$8)</f>
        <v>0</v>
      </c>
      <c r="AH26" s="43">
        <f>SUMIFS('Journal Entries'!$L:$L,'Journal Entries'!$K:$K,$C26,'Journal Entries'!$C:$C,"&lt;="&amp;AH$8,'Journal Entries'!$C:$C,"&gt;"&amp;AG$8)</f>
        <v>0</v>
      </c>
      <c r="AI26" s="43">
        <f>SUMIFS('Journal Entries'!$L:$L,'Journal Entries'!$K:$K,$C26,'Journal Entries'!$C:$C,"&lt;="&amp;AI$8,'Journal Entries'!$C:$C,"&gt;"&amp;AH$8)</f>
        <v>0</v>
      </c>
      <c r="AJ26" s="43">
        <f>SUMIFS('Journal Entries'!$L:$L,'Journal Entries'!$K:$K,$C26,'Journal Entries'!$C:$C,"&lt;="&amp;AJ$8,'Journal Entries'!$C:$C,"&gt;"&amp;AI$8)</f>
        <v>0</v>
      </c>
      <c r="AK26" s="43">
        <f>SUMIFS('Journal Entries'!$L:$L,'Journal Entries'!$K:$K,$C26,'Journal Entries'!$C:$C,"&lt;="&amp;AK$8,'Journal Entries'!$C:$C,"&gt;"&amp;AJ$8)</f>
        <v>0</v>
      </c>
      <c r="AL26" s="43">
        <f>SUMIFS('Journal Entries'!$L:$L,'Journal Entries'!$K:$K,$C26,'Journal Entries'!$C:$C,"&lt;="&amp;AL$8,'Journal Entries'!$C:$C,"&gt;"&amp;AK$8)</f>
        <v>0</v>
      </c>
      <c r="AM26" s="43">
        <f>SUMIFS('Journal Entries'!$L:$L,'Journal Entries'!$K:$K,$C26,'Journal Entries'!$C:$C,"&lt;="&amp;AM$8,'Journal Entries'!$C:$C,"&gt;"&amp;AL$8)</f>
        <v>0</v>
      </c>
      <c r="AN26" s="43">
        <f>SUMIFS('Journal Entries'!$L:$L,'Journal Entries'!$K:$K,$C26,'Journal Entries'!$C:$C,"&lt;="&amp;AN$8,'Journal Entries'!$C:$C,"&gt;"&amp;AM$8)</f>
        <v>0</v>
      </c>
      <c r="AO26" s="43">
        <f>SUMIFS('Journal Entries'!$L:$L,'Journal Entries'!$K:$K,$C26,'Journal Entries'!$C:$C,"&lt;="&amp;AO$8,'Journal Entries'!$C:$C,"&gt;"&amp;AN$8)</f>
        <v>0</v>
      </c>
      <c r="AP26" s="43">
        <f>SUMIFS('Journal Entries'!$L:$L,'Journal Entries'!$K:$K,$C26,'Journal Entries'!$C:$C,"&lt;="&amp;AP$8,'Journal Entries'!$C:$C,"&gt;"&amp;AO$8)</f>
        <v>0</v>
      </c>
      <c r="AQ26" s="43">
        <f>SUMIFS('Journal Entries'!$L:$L,'Journal Entries'!$K:$K,$C26,'Journal Entries'!$C:$C,"&lt;="&amp;AQ$8,'Journal Entries'!$C:$C,"&gt;"&amp;AP$8)</f>
        <v>0</v>
      </c>
      <c r="AR26" s="43">
        <f>SUMIFS('Journal Entries'!$L:$L,'Journal Entries'!$K:$K,$C26,'Journal Entries'!$C:$C,"&lt;="&amp;AR$8,'Journal Entries'!$C:$C,"&gt;"&amp;AQ$8)</f>
        <v>0</v>
      </c>
      <c r="AS26" s="43">
        <f>SUMIFS('Journal Entries'!$L:$L,'Journal Entries'!$K:$K,$C26,'Journal Entries'!$C:$C,"&lt;="&amp;AS$8,'Journal Entries'!$C:$C,"&gt;"&amp;AR$8)</f>
        <v>0</v>
      </c>
      <c r="AT26" s="43">
        <f>SUMIFS('Journal Entries'!$L:$L,'Journal Entries'!$K:$K,$C26,'Journal Entries'!$C:$C,"&lt;="&amp;AT$8,'Journal Entries'!$C:$C,"&gt;"&amp;AS$8)</f>
        <v>0</v>
      </c>
      <c r="AU26" s="43">
        <f>SUMIFS('Journal Entries'!$L:$L,'Journal Entries'!$K:$K,$C26,'Journal Entries'!$C:$C,"&lt;="&amp;AU$8,'Journal Entries'!$C:$C,"&gt;"&amp;AT$8)</f>
        <v>0</v>
      </c>
      <c r="AV26" s="43">
        <f>SUMIFS('Journal Entries'!$L:$L,'Journal Entries'!$K:$K,$C26,'Journal Entries'!$C:$C,"&lt;="&amp;AV$8,'Journal Entries'!$C:$C,"&gt;"&amp;AU$8)</f>
        <v>0</v>
      </c>
      <c r="AW26" s="43">
        <f>SUMIFS('Journal Entries'!$L:$L,'Journal Entries'!$K:$K,$C26,'Journal Entries'!$C:$C,"&lt;="&amp;AW$8,'Journal Entries'!$C:$C,"&gt;"&amp;AV$8)</f>
        <v>0</v>
      </c>
      <c r="AX26" s="43">
        <f>SUMIFS('Journal Entries'!$L:$L,'Journal Entries'!$K:$K,$C26,'Journal Entries'!$C:$C,"&lt;="&amp;AX$8,'Journal Entries'!$C:$C,"&gt;"&amp;AW$8)</f>
        <v>0</v>
      </c>
      <c r="AY26" s="43">
        <f>SUMIFS('Journal Entries'!$L:$L,'Journal Entries'!$K:$K,$C26,'Journal Entries'!$C:$C,"&lt;="&amp;AY$8,'Journal Entries'!$C:$C,"&gt;"&amp;AX$8)</f>
        <v>0</v>
      </c>
      <c r="AZ26" s="43">
        <f>SUMIFS('Journal Entries'!$L:$L,'Journal Entries'!$K:$K,$C26,'Journal Entries'!$C:$C,"&lt;="&amp;AZ$8,'Journal Entries'!$C:$C,"&gt;"&amp;AY$8)</f>
        <v>0</v>
      </c>
      <c r="BA26" s="43">
        <f>SUMIFS('Journal Entries'!$L:$L,'Journal Entries'!$K:$K,$C26,'Journal Entries'!$C:$C,"&lt;="&amp;BA$8,'Journal Entries'!$C:$C,"&gt;"&amp;AZ$8)</f>
        <v>0</v>
      </c>
      <c r="BB26" s="43">
        <f>SUMIFS('Journal Entries'!$L:$L,'Journal Entries'!$K:$K,$C26,'Journal Entries'!$C:$C,"&lt;="&amp;BB$8,'Journal Entries'!$C:$C,"&gt;"&amp;BA$8)</f>
        <v>0</v>
      </c>
      <c r="BC26" s="43">
        <f>SUMIFS('Journal Entries'!$L:$L,'Journal Entries'!$K:$K,$C26,'Journal Entries'!$C:$C,"&lt;="&amp;BC$8,'Journal Entries'!$C:$C,"&gt;"&amp;BB$8)</f>
        <v>0</v>
      </c>
      <c r="BD26" s="43">
        <f>SUMIFS('Journal Entries'!$L:$L,'Journal Entries'!$K:$K,$C26,'Journal Entries'!$C:$C,"&lt;="&amp;BD$8,'Journal Entries'!$C:$C,"&gt;"&amp;BC$8)</f>
        <v>0</v>
      </c>
      <c r="BE26" s="43">
        <f>SUMIFS('Journal Entries'!$L:$L,'Journal Entries'!$K:$K,$C26,'Journal Entries'!$C:$C,"&lt;="&amp;BE$8,'Journal Entries'!$C:$C,"&gt;"&amp;BD$8)</f>
        <v>0</v>
      </c>
      <c r="BF26" s="43">
        <f>SUMIFS('Journal Entries'!$L:$L,'Journal Entries'!$K:$K,$C26,'Journal Entries'!$C:$C,"&lt;="&amp;BF$8,'Journal Entries'!$C:$C,"&gt;"&amp;BE$8)</f>
        <v>0</v>
      </c>
      <c r="BG26" s="43">
        <f>SUMIFS('Journal Entries'!$L:$L,'Journal Entries'!$K:$K,$C26,'Journal Entries'!$C:$C,"&lt;="&amp;BG$8,'Journal Entries'!$C:$C,"&gt;"&amp;BF$8)</f>
        <v>0</v>
      </c>
      <c r="BH26" s="43">
        <f>SUMIFS('Journal Entries'!$L:$L,'Journal Entries'!$K:$K,$C26,'Journal Entries'!$C:$C,"&lt;="&amp;BH$8,'Journal Entries'!$C:$C,"&gt;"&amp;BG$8)</f>
        <v>0</v>
      </c>
      <c r="BI26" s="43">
        <f>SUMIFS('Journal Entries'!$L:$L,'Journal Entries'!$K:$K,$C26,'Journal Entries'!$C:$C,"&lt;="&amp;BI$8,'Journal Entries'!$C:$C,"&gt;"&amp;BH$8)</f>
        <v>0</v>
      </c>
      <c r="BJ26" s="43">
        <f>SUMIFS('Journal Entries'!$L:$L,'Journal Entries'!$K:$K,$C26,'Journal Entries'!$C:$C,"&lt;="&amp;BJ$8,'Journal Entries'!$C:$C,"&gt;"&amp;BI$8)</f>
        <v>0</v>
      </c>
      <c r="BK26" s="43">
        <f>SUMIFS('Journal Entries'!$L:$L,'Journal Entries'!$K:$K,$C26,'Journal Entries'!$C:$C,"&lt;="&amp;BK$8,'Journal Entries'!$C:$C,"&gt;"&amp;BJ$8)</f>
        <v>0</v>
      </c>
      <c r="BL26" s="43">
        <f>SUMIFS('Journal Entries'!$L:$L,'Journal Entries'!$K:$K,$C26,'Journal Entries'!$C:$C,"&lt;="&amp;BL$8,'Journal Entries'!$C:$C,"&gt;"&amp;BK$8)</f>
        <v>0</v>
      </c>
    </row>
    <row r="27" spans="2:64" x14ac:dyDescent="0.25">
      <c r="B27" s="10">
        <v>2050</v>
      </c>
      <c r="C27" s="10" t="str">
        <f>VLOOKUP(B27,'Chart of Accounts'!$B$3:$C$95,2,0)</f>
        <v>Notes payable</v>
      </c>
      <c r="D27" s="525">
        <f t="shared" si="2"/>
        <v>0</v>
      </c>
      <c r="E27" s="43">
        <f>SUMIFS('Journal Entries'!$L:$L,'Journal Entries'!$K:$K,$C27,'Journal Entries'!$C:$C,"&lt;="&amp;E$8,'Journal Entries'!$C:$C,"&gt;"&amp;D$8)</f>
        <v>0</v>
      </c>
      <c r="F27" s="43">
        <f>SUMIFS('Journal Entries'!$L:$L,'Journal Entries'!$K:$K,$C27,'Journal Entries'!$C:$C,"&lt;="&amp;F$8,'Journal Entries'!$C:$C,"&gt;"&amp;E$8)</f>
        <v>0</v>
      </c>
      <c r="G27" s="43">
        <f>SUMIFS('Journal Entries'!$L:$L,'Journal Entries'!$K:$K,$C27,'Journal Entries'!$C:$C,"&lt;="&amp;G$8,'Journal Entries'!$C:$C,"&gt;"&amp;F$8)</f>
        <v>0</v>
      </c>
      <c r="H27" s="43">
        <f>SUMIFS('Journal Entries'!$L:$L,'Journal Entries'!$K:$K,$C27,'Journal Entries'!$C:$C,"&lt;="&amp;H$8,'Journal Entries'!$C:$C,"&gt;"&amp;G$8)</f>
        <v>0</v>
      </c>
      <c r="I27" s="43">
        <f>SUMIFS('Journal Entries'!$L:$L,'Journal Entries'!$K:$K,$C27,'Journal Entries'!$C:$C,"&lt;="&amp;I$8,'Journal Entries'!$C:$C,"&gt;"&amp;H$8)</f>
        <v>0</v>
      </c>
      <c r="J27" s="43">
        <f>SUMIFS('Journal Entries'!$L:$L,'Journal Entries'!$K:$K,$C27,'Journal Entries'!$C:$C,"&lt;="&amp;J$8,'Journal Entries'!$C:$C,"&gt;"&amp;I$8)</f>
        <v>0</v>
      </c>
      <c r="K27" s="43">
        <f>SUMIFS('Journal Entries'!$L:$L,'Journal Entries'!$K:$K,$C27,'Journal Entries'!$C:$C,"&lt;="&amp;K$8,'Journal Entries'!$C:$C,"&gt;"&amp;J$8)</f>
        <v>0</v>
      </c>
      <c r="L27" s="43">
        <f>SUMIFS('Journal Entries'!$L:$L,'Journal Entries'!$K:$K,$C27,'Journal Entries'!$C:$C,"&lt;="&amp;L$8,'Journal Entries'!$C:$C,"&gt;"&amp;K$8)</f>
        <v>0</v>
      </c>
      <c r="M27" s="43">
        <f>SUMIFS('Journal Entries'!$L:$L,'Journal Entries'!$K:$K,$C27,'Journal Entries'!$C:$C,"&lt;="&amp;M$8,'Journal Entries'!$C:$C,"&gt;"&amp;L$8)</f>
        <v>0</v>
      </c>
      <c r="N27" s="43">
        <f>SUMIFS('Journal Entries'!$L:$L,'Journal Entries'!$K:$K,$C27,'Journal Entries'!$C:$C,"&lt;="&amp;N$8,'Journal Entries'!$C:$C,"&gt;"&amp;M$8)</f>
        <v>0</v>
      </c>
      <c r="O27" s="43">
        <f>SUMIFS('Journal Entries'!$L:$L,'Journal Entries'!$K:$K,$C27,'Journal Entries'!$C:$C,"&lt;="&amp;O$8,'Journal Entries'!$C:$C,"&gt;"&amp;N$8)</f>
        <v>0</v>
      </c>
      <c r="P27" s="43">
        <f>SUMIFS('Journal Entries'!$L:$L,'Journal Entries'!$K:$K,$C27,'Journal Entries'!$C:$C,"&lt;="&amp;P$8,'Journal Entries'!$C:$C,"&gt;"&amp;O$8)</f>
        <v>0</v>
      </c>
      <c r="Q27" s="43">
        <f>SUMIFS('Journal Entries'!$L:$L,'Journal Entries'!$K:$K,$C27,'Journal Entries'!$C:$C,"&lt;="&amp;Q$8,'Journal Entries'!$C:$C,"&gt;"&amp;P$8)</f>
        <v>0</v>
      </c>
      <c r="R27" s="43">
        <f>SUMIFS('Journal Entries'!$L:$L,'Journal Entries'!$K:$K,$C27,'Journal Entries'!$C:$C,"&lt;="&amp;R$8,'Journal Entries'!$C:$C,"&gt;"&amp;Q$8)</f>
        <v>0</v>
      </c>
      <c r="S27" s="43">
        <f>SUMIFS('Journal Entries'!$L:$L,'Journal Entries'!$K:$K,$C27,'Journal Entries'!$C:$C,"&lt;="&amp;S$8,'Journal Entries'!$C:$C,"&gt;"&amp;R$8)</f>
        <v>0</v>
      </c>
      <c r="T27" s="43">
        <f>SUMIFS('Journal Entries'!$L:$L,'Journal Entries'!$K:$K,$C27,'Journal Entries'!$C:$C,"&lt;="&amp;T$8,'Journal Entries'!$C:$C,"&gt;"&amp;S$8)</f>
        <v>0</v>
      </c>
      <c r="U27" s="43">
        <f>SUMIFS('Journal Entries'!$L:$L,'Journal Entries'!$K:$K,$C27,'Journal Entries'!$C:$C,"&lt;="&amp;U$8,'Journal Entries'!$C:$C,"&gt;"&amp;T$8)</f>
        <v>0</v>
      </c>
      <c r="V27" s="43">
        <f>SUMIFS('Journal Entries'!$L:$L,'Journal Entries'!$K:$K,$C27,'Journal Entries'!$C:$C,"&lt;="&amp;V$8,'Journal Entries'!$C:$C,"&gt;"&amp;U$8)</f>
        <v>0</v>
      </c>
      <c r="W27" s="43">
        <f>SUMIFS('Journal Entries'!$L:$L,'Journal Entries'!$K:$K,$C27,'Journal Entries'!$C:$C,"&lt;="&amp;W$8,'Journal Entries'!$C:$C,"&gt;"&amp;V$8)</f>
        <v>0</v>
      </c>
      <c r="X27" s="43">
        <f>SUMIFS('Journal Entries'!$L:$L,'Journal Entries'!$K:$K,$C27,'Journal Entries'!$C:$C,"&lt;="&amp;X$8,'Journal Entries'!$C:$C,"&gt;"&amp;W$8)</f>
        <v>0</v>
      </c>
      <c r="Y27" s="43">
        <f>SUMIFS('Journal Entries'!$L:$L,'Journal Entries'!$K:$K,$C27,'Journal Entries'!$C:$C,"&lt;="&amp;Y$8,'Journal Entries'!$C:$C,"&gt;"&amp;X$8)</f>
        <v>0</v>
      </c>
      <c r="Z27" s="43">
        <f>SUMIFS('Journal Entries'!$L:$L,'Journal Entries'!$K:$K,$C27,'Journal Entries'!$C:$C,"&lt;="&amp;Z$8,'Journal Entries'!$C:$C,"&gt;"&amp;Y$8)</f>
        <v>0</v>
      </c>
      <c r="AA27" s="43">
        <f>SUMIFS('Journal Entries'!$L:$L,'Journal Entries'!$K:$K,$C27,'Journal Entries'!$C:$C,"&lt;="&amp;AA$8,'Journal Entries'!$C:$C,"&gt;"&amp;Z$8)</f>
        <v>0</v>
      </c>
      <c r="AB27" s="43">
        <f>SUMIFS('Journal Entries'!$L:$L,'Journal Entries'!$K:$K,$C27,'Journal Entries'!$C:$C,"&lt;="&amp;AB$8,'Journal Entries'!$C:$C,"&gt;"&amp;AA$8)</f>
        <v>0</v>
      </c>
      <c r="AC27" s="43">
        <f>SUMIFS('Journal Entries'!$L:$L,'Journal Entries'!$K:$K,$C27,'Journal Entries'!$C:$C,"&lt;="&amp;AC$8,'Journal Entries'!$C:$C,"&gt;"&amp;AB$8)</f>
        <v>0</v>
      </c>
      <c r="AD27" s="43">
        <f>SUMIFS('Journal Entries'!$L:$L,'Journal Entries'!$K:$K,$C27,'Journal Entries'!$C:$C,"&lt;="&amp;AD$8,'Journal Entries'!$C:$C,"&gt;"&amp;AC$8)</f>
        <v>0</v>
      </c>
      <c r="AE27" s="43">
        <f>SUMIFS('Journal Entries'!$L:$L,'Journal Entries'!$K:$K,$C27,'Journal Entries'!$C:$C,"&lt;="&amp;AE$8,'Journal Entries'!$C:$C,"&gt;"&amp;AD$8)</f>
        <v>0</v>
      </c>
      <c r="AF27" s="43">
        <f>SUMIFS('Journal Entries'!$L:$L,'Journal Entries'!$K:$K,$C27,'Journal Entries'!$C:$C,"&lt;="&amp;AF$8,'Journal Entries'!$C:$C,"&gt;"&amp;AE$8)</f>
        <v>0</v>
      </c>
      <c r="AG27" s="43">
        <f>SUMIFS('Journal Entries'!$L:$L,'Journal Entries'!$K:$K,$C27,'Journal Entries'!$C:$C,"&lt;="&amp;AG$8,'Journal Entries'!$C:$C,"&gt;"&amp;AF$8)</f>
        <v>0</v>
      </c>
      <c r="AH27" s="43">
        <f>SUMIFS('Journal Entries'!$L:$L,'Journal Entries'!$K:$K,$C27,'Journal Entries'!$C:$C,"&lt;="&amp;AH$8,'Journal Entries'!$C:$C,"&gt;"&amp;AG$8)</f>
        <v>0</v>
      </c>
      <c r="AI27" s="43">
        <f>SUMIFS('Journal Entries'!$L:$L,'Journal Entries'!$K:$K,$C27,'Journal Entries'!$C:$C,"&lt;="&amp;AI$8,'Journal Entries'!$C:$C,"&gt;"&amp;AH$8)</f>
        <v>0</v>
      </c>
      <c r="AJ27" s="43">
        <f>SUMIFS('Journal Entries'!$L:$L,'Journal Entries'!$K:$K,$C27,'Journal Entries'!$C:$C,"&lt;="&amp;AJ$8,'Journal Entries'!$C:$C,"&gt;"&amp;AI$8)</f>
        <v>0</v>
      </c>
      <c r="AK27" s="43">
        <f>SUMIFS('Journal Entries'!$L:$L,'Journal Entries'!$K:$K,$C27,'Journal Entries'!$C:$C,"&lt;="&amp;AK$8,'Journal Entries'!$C:$C,"&gt;"&amp;AJ$8)</f>
        <v>0</v>
      </c>
      <c r="AL27" s="43">
        <f>SUMIFS('Journal Entries'!$L:$L,'Journal Entries'!$K:$K,$C27,'Journal Entries'!$C:$C,"&lt;="&amp;AL$8,'Journal Entries'!$C:$C,"&gt;"&amp;AK$8)</f>
        <v>0</v>
      </c>
      <c r="AM27" s="43">
        <f>SUMIFS('Journal Entries'!$L:$L,'Journal Entries'!$K:$K,$C27,'Journal Entries'!$C:$C,"&lt;="&amp;AM$8,'Journal Entries'!$C:$C,"&gt;"&amp;AL$8)</f>
        <v>0</v>
      </c>
      <c r="AN27" s="43">
        <f>SUMIFS('Journal Entries'!$L:$L,'Journal Entries'!$K:$K,$C27,'Journal Entries'!$C:$C,"&lt;="&amp;AN$8,'Journal Entries'!$C:$C,"&gt;"&amp;AM$8)</f>
        <v>0</v>
      </c>
      <c r="AO27" s="43">
        <f>SUMIFS('Journal Entries'!$L:$L,'Journal Entries'!$K:$K,$C27,'Journal Entries'!$C:$C,"&lt;="&amp;AO$8,'Journal Entries'!$C:$C,"&gt;"&amp;AN$8)</f>
        <v>0</v>
      </c>
      <c r="AP27" s="43">
        <f>SUMIFS('Journal Entries'!$L:$L,'Journal Entries'!$K:$K,$C27,'Journal Entries'!$C:$C,"&lt;="&amp;AP$8,'Journal Entries'!$C:$C,"&gt;"&amp;AO$8)</f>
        <v>0</v>
      </c>
      <c r="AQ27" s="43">
        <f>SUMIFS('Journal Entries'!$L:$L,'Journal Entries'!$K:$K,$C27,'Journal Entries'!$C:$C,"&lt;="&amp;AQ$8,'Journal Entries'!$C:$C,"&gt;"&amp;AP$8)</f>
        <v>0</v>
      </c>
      <c r="AR27" s="43">
        <f>SUMIFS('Journal Entries'!$L:$L,'Journal Entries'!$K:$K,$C27,'Journal Entries'!$C:$C,"&lt;="&amp;AR$8,'Journal Entries'!$C:$C,"&gt;"&amp;AQ$8)</f>
        <v>0</v>
      </c>
      <c r="AS27" s="43">
        <f>SUMIFS('Journal Entries'!$L:$L,'Journal Entries'!$K:$K,$C27,'Journal Entries'!$C:$C,"&lt;="&amp;AS$8,'Journal Entries'!$C:$C,"&gt;"&amp;AR$8)</f>
        <v>0</v>
      </c>
      <c r="AT27" s="43">
        <f>SUMIFS('Journal Entries'!$L:$L,'Journal Entries'!$K:$K,$C27,'Journal Entries'!$C:$C,"&lt;="&amp;AT$8,'Journal Entries'!$C:$C,"&gt;"&amp;AS$8)</f>
        <v>0</v>
      </c>
      <c r="AU27" s="43">
        <f>SUMIFS('Journal Entries'!$L:$L,'Journal Entries'!$K:$K,$C27,'Journal Entries'!$C:$C,"&lt;="&amp;AU$8,'Journal Entries'!$C:$C,"&gt;"&amp;AT$8)</f>
        <v>0</v>
      </c>
      <c r="AV27" s="43">
        <f>SUMIFS('Journal Entries'!$L:$L,'Journal Entries'!$K:$K,$C27,'Journal Entries'!$C:$C,"&lt;="&amp;AV$8,'Journal Entries'!$C:$C,"&gt;"&amp;AU$8)</f>
        <v>0</v>
      </c>
      <c r="AW27" s="43">
        <f>SUMIFS('Journal Entries'!$L:$L,'Journal Entries'!$K:$K,$C27,'Journal Entries'!$C:$C,"&lt;="&amp;AW$8,'Journal Entries'!$C:$C,"&gt;"&amp;AV$8)</f>
        <v>0</v>
      </c>
      <c r="AX27" s="43">
        <f>SUMIFS('Journal Entries'!$L:$L,'Journal Entries'!$K:$K,$C27,'Journal Entries'!$C:$C,"&lt;="&amp;AX$8,'Journal Entries'!$C:$C,"&gt;"&amp;AW$8)</f>
        <v>0</v>
      </c>
      <c r="AY27" s="43">
        <f>SUMIFS('Journal Entries'!$L:$L,'Journal Entries'!$K:$K,$C27,'Journal Entries'!$C:$C,"&lt;="&amp;AY$8,'Journal Entries'!$C:$C,"&gt;"&amp;AX$8)</f>
        <v>0</v>
      </c>
      <c r="AZ27" s="43">
        <f>SUMIFS('Journal Entries'!$L:$L,'Journal Entries'!$K:$K,$C27,'Journal Entries'!$C:$C,"&lt;="&amp;AZ$8,'Journal Entries'!$C:$C,"&gt;"&amp;AY$8)</f>
        <v>0</v>
      </c>
      <c r="BA27" s="43">
        <f>SUMIFS('Journal Entries'!$L:$L,'Journal Entries'!$K:$K,$C27,'Journal Entries'!$C:$C,"&lt;="&amp;BA$8,'Journal Entries'!$C:$C,"&gt;"&amp;AZ$8)</f>
        <v>0</v>
      </c>
      <c r="BB27" s="43">
        <f>SUMIFS('Journal Entries'!$L:$L,'Journal Entries'!$K:$K,$C27,'Journal Entries'!$C:$C,"&lt;="&amp;BB$8,'Journal Entries'!$C:$C,"&gt;"&amp;BA$8)</f>
        <v>0</v>
      </c>
      <c r="BC27" s="43">
        <f>SUMIFS('Journal Entries'!$L:$L,'Journal Entries'!$K:$K,$C27,'Journal Entries'!$C:$C,"&lt;="&amp;BC$8,'Journal Entries'!$C:$C,"&gt;"&amp;BB$8)</f>
        <v>0</v>
      </c>
      <c r="BD27" s="43">
        <f>SUMIFS('Journal Entries'!$L:$L,'Journal Entries'!$K:$K,$C27,'Journal Entries'!$C:$C,"&lt;="&amp;BD$8,'Journal Entries'!$C:$C,"&gt;"&amp;BC$8)</f>
        <v>0</v>
      </c>
      <c r="BE27" s="43">
        <f>SUMIFS('Journal Entries'!$L:$L,'Journal Entries'!$K:$K,$C27,'Journal Entries'!$C:$C,"&lt;="&amp;BE$8,'Journal Entries'!$C:$C,"&gt;"&amp;BD$8)</f>
        <v>0</v>
      </c>
      <c r="BF27" s="43">
        <f>SUMIFS('Journal Entries'!$L:$L,'Journal Entries'!$K:$K,$C27,'Journal Entries'!$C:$C,"&lt;="&amp;BF$8,'Journal Entries'!$C:$C,"&gt;"&amp;BE$8)</f>
        <v>0</v>
      </c>
      <c r="BG27" s="43">
        <f>SUMIFS('Journal Entries'!$L:$L,'Journal Entries'!$K:$K,$C27,'Journal Entries'!$C:$C,"&lt;="&amp;BG$8,'Journal Entries'!$C:$C,"&gt;"&amp;BF$8)</f>
        <v>0</v>
      </c>
      <c r="BH27" s="43">
        <f>SUMIFS('Journal Entries'!$L:$L,'Journal Entries'!$K:$K,$C27,'Journal Entries'!$C:$C,"&lt;="&amp;BH$8,'Journal Entries'!$C:$C,"&gt;"&amp;BG$8)</f>
        <v>0</v>
      </c>
      <c r="BI27" s="43">
        <f>SUMIFS('Journal Entries'!$L:$L,'Journal Entries'!$K:$K,$C27,'Journal Entries'!$C:$C,"&lt;="&amp;BI$8,'Journal Entries'!$C:$C,"&gt;"&amp;BH$8)</f>
        <v>0</v>
      </c>
      <c r="BJ27" s="43">
        <f>SUMIFS('Journal Entries'!$L:$L,'Journal Entries'!$K:$K,$C27,'Journal Entries'!$C:$C,"&lt;="&amp;BJ$8,'Journal Entries'!$C:$C,"&gt;"&amp;BI$8)</f>
        <v>0</v>
      </c>
      <c r="BK27" s="43">
        <f>SUMIFS('Journal Entries'!$L:$L,'Journal Entries'!$K:$K,$C27,'Journal Entries'!$C:$C,"&lt;="&amp;BK$8,'Journal Entries'!$C:$C,"&gt;"&amp;BJ$8)</f>
        <v>0</v>
      </c>
      <c r="BL27" s="43">
        <f>SUMIFS('Journal Entries'!$L:$L,'Journal Entries'!$K:$K,$C27,'Journal Entries'!$C:$C,"&lt;="&amp;BL$8,'Journal Entries'!$C:$C,"&gt;"&amp;BK$8)</f>
        <v>0</v>
      </c>
    </row>
    <row r="28" spans="2:64" x14ac:dyDescent="0.25">
      <c r="B28" s="10">
        <v>2060</v>
      </c>
      <c r="C28" s="10" t="str">
        <f>VLOOKUP(B28,'Chart of Accounts'!$B$3:$C$95,2,0)</f>
        <v>Other accrued expenses</v>
      </c>
      <c r="D28" s="525">
        <f t="shared" si="2"/>
        <v>0</v>
      </c>
      <c r="E28" s="43">
        <f>SUMIFS('Journal Entries'!$L:$L,'Journal Entries'!$K:$K,$C28,'Journal Entries'!$C:$C,"&lt;="&amp;E$8,'Journal Entries'!$C:$C,"&gt;"&amp;D$8)</f>
        <v>0</v>
      </c>
      <c r="F28" s="43">
        <f>SUMIFS('Journal Entries'!$L:$L,'Journal Entries'!$K:$K,$C28,'Journal Entries'!$C:$C,"&lt;="&amp;F$8,'Journal Entries'!$C:$C,"&gt;"&amp;E$8)</f>
        <v>0</v>
      </c>
      <c r="G28" s="43">
        <f>SUMIFS('Journal Entries'!$L:$L,'Journal Entries'!$K:$K,$C28,'Journal Entries'!$C:$C,"&lt;="&amp;G$8,'Journal Entries'!$C:$C,"&gt;"&amp;F$8)</f>
        <v>0</v>
      </c>
      <c r="H28" s="43">
        <f>SUMIFS('Journal Entries'!$L:$L,'Journal Entries'!$K:$K,$C28,'Journal Entries'!$C:$C,"&lt;="&amp;H$8,'Journal Entries'!$C:$C,"&gt;"&amp;G$8)</f>
        <v>0</v>
      </c>
      <c r="I28" s="43">
        <f>SUMIFS('Journal Entries'!$L:$L,'Journal Entries'!$K:$K,$C28,'Journal Entries'!$C:$C,"&lt;="&amp;I$8,'Journal Entries'!$C:$C,"&gt;"&amp;H$8)</f>
        <v>0</v>
      </c>
      <c r="J28" s="43">
        <f>SUMIFS('Journal Entries'!$L:$L,'Journal Entries'!$K:$K,$C28,'Journal Entries'!$C:$C,"&lt;="&amp;J$8,'Journal Entries'!$C:$C,"&gt;"&amp;I$8)</f>
        <v>0</v>
      </c>
      <c r="K28" s="43">
        <f>SUMIFS('Journal Entries'!$L:$L,'Journal Entries'!$K:$K,$C28,'Journal Entries'!$C:$C,"&lt;="&amp;K$8,'Journal Entries'!$C:$C,"&gt;"&amp;J$8)</f>
        <v>0</v>
      </c>
      <c r="L28" s="43">
        <f>SUMIFS('Journal Entries'!$L:$L,'Journal Entries'!$K:$K,$C28,'Journal Entries'!$C:$C,"&lt;="&amp;L$8,'Journal Entries'!$C:$C,"&gt;"&amp;K$8)</f>
        <v>0</v>
      </c>
      <c r="M28" s="43">
        <f>SUMIFS('Journal Entries'!$L:$L,'Journal Entries'!$K:$K,$C28,'Journal Entries'!$C:$C,"&lt;="&amp;M$8,'Journal Entries'!$C:$C,"&gt;"&amp;L$8)</f>
        <v>0</v>
      </c>
      <c r="N28" s="43">
        <f>SUMIFS('Journal Entries'!$L:$L,'Journal Entries'!$K:$K,$C28,'Journal Entries'!$C:$C,"&lt;="&amp;N$8,'Journal Entries'!$C:$C,"&gt;"&amp;M$8)</f>
        <v>0</v>
      </c>
      <c r="O28" s="43">
        <f>SUMIFS('Journal Entries'!$L:$L,'Journal Entries'!$K:$K,$C28,'Journal Entries'!$C:$C,"&lt;="&amp;O$8,'Journal Entries'!$C:$C,"&gt;"&amp;N$8)</f>
        <v>0</v>
      </c>
      <c r="P28" s="43">
        <f>SUMIFS('Journal Entries'!$L:$L,'Journal Entries'!$K:$K,$C28,'Journal Entries'!$C:$C,"&lt;="&amp;P$8,'Journal Entries'!$C:$C,"&gt;"&amp;O$8)</f>
        <v>0</v>
      </c>
      <c r="Q28" s="43">
        <f>SUMIFS('Journal Entries'!$L:$L,'Journal Entries'!$K:$K,$C28,'Journal Entries'!$C:$C,"&lt;="&amp;Q$8,'Journal Entries'!$C:$C,"&gt;"&amp;P$8)</f>
        <v>0</v>
      </c>
      <c r="R28" s="43">
        <f>SUMIFS('Journal Entries'!$L:$L,'Journal Entries'!$K:$K,$C28,'Journal Entries'!$C:$C,"&lt;="&amp;R$8,'Journal Entries'!$C:$C,"&gt;"&amp;Q$8)</f>
        <v>0</v>
      </c>
      <c r="S28" s="43">
        <f>SUMIFS('Journal Entries'!$L:$L,'Journal Entries'!$K:$K,$C28,'Journal Entries'!$C:$C,"&lt;="&amp;S$8,'Journal Entries'!$C:$C,"&gt;"&amp;R$8)</f>
        <v>0</v>
      </c>
      <c r="T28" s="43">
        <f>SUMIFS('Journal Entries'!$L:$L,'Journal Entries'!$K:$K,$C28,'Journal Entries'!$C:$C,"&lt;="&amp;T$8,'Journal Entries'!$C:$C,"&gt;"&amp;S$8)</f>
        <v>0</v>
      </c>
      <c r="U28" s="43">
        <f>SUMIFS('Journal Entries'!$L:$L,'Journal Entries'!$K:$K,$C28,'Journal Entries'!$C:$C,"&lt;="&amp;U$8,'Journal Entries'!$C:$C,"&gt;"&amp;T$8)</f>
        <v>0</v>
      </c>
      <c r="V28" s="43">
        <f>SUMIFS('Journal Entries'!$L:$L,'Journal Entries'!$K:$K,$C28,'Journal Entries'!$C:$C,"&lt;="&amp;V$8,'Journal Entries'!$C:$C,"&gt;"&amp;U$8)</f>
        <v>0</v>
      </c>
      <c r="W28" s="43">
        <f>SUMIFS('Journal Entries'!$L:$L,'Journal Entries'!$K:$K,$C28,'Journal Entries'!$C:$C,"&lt;="&amp;W$8,'Journal Entries'!$C:$C,"&gt;"&amp;V$8)</f>
        <v>0</v>
      </c>
      <c r="X28" s="43">
        <f>SUMIFS('Journal Entries'!$L:$L,'Journal Entries'!$K:$K,$C28,'Journal Entries'!$C:$C,"&lt;="&amp;X$8,'Journal Entries'!$C:$C,"&gt;"&amp;W$8)</f>
        <v>0</v>
      </c>
      <c r="Y28" s="43">
        <f>SUMIFS('Journal Entries'!$L:$L,'Journal Entries'!$K:$K,$C28,'Journal Entries'!$C:$C,"&lt;="&amp;Y$8,'Journal Entries'!$C:$C,"&gt;"&amp;X$8)</f>
        <v>0</v>
      </c>
      <c r="Z28" s="43">
        <f>SUMIFS('Journal Entries'!$L:$L,'Journal Entries'!$K:$K,$C28,'Journal Entries'!$C:$C,"&lt;="&amp;Z$8,'Journal Entries'!$C:$C,"&gt;"&amp;Y$8)</f>
        <v>0</v>
      </c>
      <c r="AA28" s="43">
        <f>SUMIFS('Journal Entries'!$L:$L,'Journal Entries'!$K:$K,$C28,'Journal Entries'!$C:$C,"&lt;="&amp;AA$8,'Journal Entries'!$C:$C,"&gt;"&amp;Z$8)</f>
        <v>0</v>
      </c>
      <c r="AB28" s="43">
        <f>SUMIFS('Journal Entries'!$L:$L,'Journal Entries'!$K:$K,$C28,'Journal Entries'!$C:$C,"&lt;="&amp;AB$8,'Journal Entries'!$C:$C,"&gt;"&amp;AA$8)</f>
        <v>0</v>
      </c>
      <c r="AC28" s="43">
        <f>SUMIFS('Journal Entries'!$L:$L,'Journal Entries'!$K:$K,$C28,'Journal Entries'!$C:$C,"&lt;="&amp;AC$8,'Journal Entries'!$C:$C,"&gt;"&amp;AB$8)</f>
        <v>0</v>
      </c>
      <c r="AD28" s="43">
        <f>SUMIFS('Journal Entries'!$L:$L,'Journal Entries'!$K:$K,$C28,'Journal Entries'!$C:$C,"&lt;="&amp;AD$8,'Journal Entries'!$C:$C,"&gt;"&amp;AC$8)</f>
        <v>0</v>
      </c>
      <c r="AE28" s="43">
        <f>SUMIFS('Journal Entries'!$L:$L,'Journal Entries'!$K:$K,$C28,'Journal Entries'!$C:$C,"&lt;="&amp;AE$8,'Journal Entries'!$C:$C,"&gt;"&amp;AD$8)</f>
        <v>0</v>
      </c>
      <c r="AF28" s="43">
        <f>SUMIFS('Journal Entries'!$L:$L,'Journal Entries'!$K:$K,$C28,'Journal Entries'!$C:$C,"&lt;="&amp;AF$8,'Journal Entries'!$C:$C,"&gt;"&amp;AE$8)</f>
        <v>0</v>
      </c>
      <c r="AG28" s="43">
        <f>SUMIFS('Journal Entries'!$L:$L,'Journal Entries'!$K:$K,$C28,'Journal Entries'!$C:$C,"&lt;="&amp;AG$8,'Journal Entries'!$C:$C,"&gt;"&amp;AF$8)</f>
        <v>0</v>
      </c>
      <c r="AH28" s="43">
        <f>SUMIFS('Journal Entries'!$L:$L,'Journal Entries'!$K:$K,$C28,'Journal Entries'!$C:$C,"&lt;="&amp;AH$8,'Journal Entries'!$C:$C,"&gt;"&amp;AG$8)</f>
        <v>0</v>
      </c>
      <c r="AI28" s="43">
        <f>SUMIFS('Journal Entries'!$L:$L,'Journal Entries'!$K:$K,$C28,'Journal Entries'!$C:$C,"&lt;="&amp;AI$8,'Journal Entries'!$C:$C,"&gt;"&amp;AH$8)</f>
        <v>0</v>
      </c>
      <c r="AJ28" s="43">
        <f>SUMIFS('Journal Entries'!$L:$L,'Journal Entries'!$K:$K,$C28,'Journal Entries'!$C:$C,"&lt;="&amp;AJ$8,'Journal Entries'!$C:$C,"&gt;"&amp;AI$8)</f>
        <v>0</v>
      </c>
      <c r="AK28" s="43">
        <f>SUMIFS('Journal Entries'!$L:$L,'Journal Entries'!$K:$K,$C28,'Journal Entries'!$C:$C,"&lt;="&amp;AK$8,'Journal Entries'!$C:$C,"&gt;"&amp;AJ$8)</f>
        <v>0</v>
      </c>
      <c r="AL28" s="43">
        <f>SUMIFS('Journal Entries'!$L:$L,'Journal Entries'!$K:$K,$C28,'Journal Entries'!$C:$C,"&lt;="&amp;AL$8,'Journal Entries'!$C:$C,"&gt;"&amp;AK$8)</f>
        <v>0</v>
      </c>
      <c r="AM28" s="43">
        <f>SUMIFS('Journal Entries'!$L:$L,'Journal Entries'!$K:$K,$C28,'Journal Entries'!$C:$C,"&lt;="&amp;AM$8,'Journal Entries'!$C:$C,"&gt;"&amp;AL$8)</f>
        <v>0</v>
      </c>
      <c r="AN28" s="43">
        <f>SUMIFS('Journal Entries'!$L:$L,'Journal Entries'!$K:$K,$C28,'Journal Entries'!$C:$C,"&lt;="&amp;AN$8,'Journal Entries'!$C:$C,"&gt;"&amp;AM$8)</f>
        <v>0</v>
      </c>
      <c r="AO28" s="43">
        <f>SUMIFS('Journal Entries'!$L:$L,'Journal Entries'!$K:$K,$C28,'Journal Entries'!$C:$C,"&lt;="&amp;AO$8,'Journal Entries'!$C:$C,"&gt;"&amp;AN$8)</f>
        <v>0</v>
      </c>
      <c r="AP28" s="43">
        <f>SUMIFS('Journal Entries'!$L:$L,'Journal Entries'!$K:$K,$C28,'Journal Entries'!$C:$C,"&lt;="&amp;AP$8,'Journal Entries'!$C:$C,"&gt;"&amp;AO$8)</f>
        <v>0</v>
      </c>
      <c r="AQ28" s="43">
        <f>SUMIFS('Journal Entries'!$L:$L,'Journal Entries'!$K:$K,$C28,'Journal Entries'!$C:$C,"&lt;="&amp;AQ$8,'Journal Entries'!$C:$C,"&gt;"&amp;AP$8)</f>
        <v>0</v>
      </c>
      <c r="AR28" s="43">
        <f>SUMIFS('Journal Entries'!$L:$L,'Journal Entries'!$K:$K,$C28,'Journal Entries'!$C:$C,"&lt;="&amp;AR$8,'Journal Entries'!$C:$C,"&gt;"&amp;AQ$8)</f>
        <v>0</v>
      </c>
      <c r="AS28" s="43">
        <f>SUMIFS('Journal Entries'!$L:$L,'Journal Entries'!$K:$K,$C28,'Journal Entries'!$C:$C,"&lt;="&amp;AS$8,'Journal Entries'!$C:$C,"&gt;"&amp;AR$8)</f>
        <v>0</v>
      </c>
      <c r="AT28" s="43">
        <f>SUMIFS('Journal Entries'!$L:$L,'Journal Entries'!$K:$K,$C28,'Journal Entries'!$C:$C,"&lt;="&amp;AT$8,'Journal Entries'!$C:$C,"&gt;"&amp;AS$8)</f>
        <v>0</v>
      </c>
      <c r="AU28" s="43">
        <f>SUMIFS('Journal Entries'!$L:$L,'Journal Entries'!$K:$K,$C28,'Journal Entries'!$C:$C,"&lt;="&amp;AU$8,'Journal Entries'!$C:$C,"&gt;"&amp;AT$8)</f>
        <v>0</v>
      </c>
      <c r="AV28" s="43">
        <f>SUMIFS('Journal Entries'!$L:$L,'Journal Entries'!$K:$K,$C28,'Journal Entries'!$C:$C,"&lt;="&amp;AV$8,'Journal Entries'!$C:$C,"&gt;"&amp;AU$8)</f>
        <v>0</v>
      </c>
      <c r="AW28" s="43">
        <f>SUMIFS('Journal Entries'!$L:$L,'Journal Entries'!$K:$K,$C28,'Journal Entries'!$C:$C,"&lt;="&amp;AW$8,'Journal Entries'!$C:$C,"&gt;"&amp;AV$8)</f>
        <v>0</v>
      </c>
      <c r="AX28" s="43">
        <f>SUMIFS('Journal Entries'!$L:$L,'Journal Entries'!$K:$K,$C28,'Journal Entries'!$C:$C,"&lt;="&amp;AX$8,'Journal Entries'!$C:$C,"&gt;"&amp;AW$8)</f>
        <v>0</v>
      </c>
      <c r="AY28" s="43">
        <f>SUMIFS('Journal Entries'!$L:$L,'Journal Entries'!$K:$K,$C28,'Journal Entries'!$C:$C,"&lt;="&amp;AY$8,'Journal Entries'!$C:$C,"&gt;"&amp;AX$8)</f>
        <v>0</v>
      </c>
      <c r="AZ28" s="43">
        <f>SUMIFS('Journal Entries'!$L:$L,'Journal Entries'!$K:$K,$C28,'Journal Entries'!$C:$C,"&lt;="&amp;AZ$8,'Journal Entries'!$C:$C,"&gt;"&amp;AY$8)</f>
        <v>0</v>
      </c>
      <c r="BA28" s="43">
        <f>SUMIFS('Journal Entries'!$L:$L,'Journal Entries'!$K:$K,$C28,'Journal Entries'!$C:$C,"&lt;="&amp;BA$8,'Journal Entries'!$C:$C,"&gt;"&amp;AZ$8)</f>
        <v>0</v>
      </c>
      <c r="BB28" s="43">
        <f>SUMIFS('Journal Entries'!$L:$L,'Journal Entries'!$K:$K,$C28,'Journal Entries'!$C:$C,"&lt;="&amp;BB$8,'Journal Entries'!$C:$C,"&gt;"&amp;BA$8)</f>
        <v>0</v>
      </c>
      <c r="BC28" s="43">
        <f>SUMIFS('Journal Entries'!$L:$L,'Journal Entries'!$K:$K,$C28,'Journal Entries'!$C:$C,"&lt;="&amp;BC$8,'Journal Entries'!$C:$C,"&gt;"&amp;BB$8)</f>
        <v>0</v>
      </c>
      <c r="BD28" s="43">
        <f>SUMIFS('Journal Entries'!$L:$L,'Journal Entries'!$K:$K,$C28,'Journal Entries'!$C:$C,"&lt;="&amp;BD$8,'Journal Entries'!$C:$C,"&gt;"&amp;BC$8)</f>
        <v>0</v>
      </c>
      <c r="BE28" s="43">
        <f>SUMIFS('Journal Entries'!$L:$L,'Journal Entries'!$K:$K,$C28,'Journal Entries'!$C:$C,"&lt;="&amp;BE$8,'Journal Entries'!$C:$C,"&gt;"&amp;BD$8)</f>
        <v>0</v>
      </c>
      <c r="BF28" s="43">
        <f>SUMIFS('Journal Entries'!$L:$L,'Journal Entries'!$K:$K,$C28,'Journal Entries'!$C:$C,"&lt;="&amp;BF$8,'Journal Entries'!$C:$C,"&gt;"&amp;BE$8)</f>
        <v>0</v>
      </c>
      <c r="BG28" s="43">
        <f>SUMIFS('Journal Entries'!$L:$L,'Journal Entries'!$K:$K,$C28,'Journal Entries'!$C:$C,"&lt;="&amp;BG$8,'Journal Entries'!$C:$C,"&gt;"&amp;BF$8)</f>
        <v>0</v>
      </c>
      <c r="BH28" s="43">
        <f>SUMIFS('Journal Entries'!$L:$L,'Journal Entries'!$K:$K,$C28,'Journal Entries'!$C:$C,"&lt;="&amp;BH$8,'Journal Entries'!$C:$C,"&gt;"&amp;BG$8)</f>
        <v>0</v>
      </c>
      <c r="BI28" s="43">
        <f>SUMIFS('Journal Entries'!$L:$L,'Journal Entries'!$K:$K,$C28,'Journal Entries'!$C:$C,"&lt;="&amp;BI$8,'Journal Entries'!$C:$C,"&gt;"&amp;BH$8)</f>
        <v>0</v>
      </c>
      <c r="BJ28" s="43">
        <f>SUMIFS('Journal Entries'!$L:$L,'Journal Entries'!$K:$K,$C28,'Journal Entries'!$C:$C,"&lt;="&amp;BJ$8,'Journal Entries'!$C:$C,"&gt;"&amp;BI$8)</f>
        <v>0</v>
      </c>
      <c r="BK28" s="43">
        <f>SUMIFS('Journal Entries'!$L:$L,'Journal Entries'!$K:$K,$C28,'Journal Entries'!$C:$C,"&lt;="&amp;BK$8,'Journal Entries'!$C:$C,"&gt;"&amp;BJ$8)</f>
        <v>0</v>
      </c>
      <c r="BL28" s="43">
        <f>SUMIFS('Journal Entries'!$L:$L,'Journal Entries'!$K:$K,$C28,'Journal Entries'!$C:$C,"&lt;="&amp;BL$8,'Journal Entries'!$C:$C,"&gt;"&amp;BK$8)</f>
        <v>0</v>
      </c>
    </row>
    <row r="29" spans="2:64" x14ac:dyDescent="0.25">
      <c r="B29" s="10">
        <v>2070</v>
      </c>
      <c r="C29" s="10" t="str">
        <f>VLOOKUP(B29,'Chart of Accounts'!$B$3:$C$95,2,0)</f>
        <v>Legal fee payable</v>
      </c>
      <c r="D29" s="525">
        <f t="shared" si="2"/>
        <v>0</v>
      </c>
      <c r="E29" s="43">
        <f>SUMIFS('Journal Entries'!$L:$L,'Journal Entries'!$K:$K,$C29,'Journal Entries'!$C:$C,"&lt;="&amp;E$8,'Journal Entries'!$C:$C,"&gt;"&amp;D$8)</f>
        <v>0</v>
      </c>
      <c r="F29" s="43">
        <f>SUMIFS('Journal Entries'!$L:$L,'Journal Entries'!$K:$K,$C29,'Journal Entries'!$C:$C,"&lt;="&amp;F$8,'Journal Entries'!$C:$C,"&gt;"&amp;E$8)</f>
        <v>0</v>
      </c>
      <c r="G29" s="43">
        <f>SUMIFS('Journal Entries'!$L:$L,'Journal Entries'!$K:$K,$C29,'Journal Entries'!$C:$C,"&lt;="&amp;G$8,'Journal Entries'!$C:$C,"&gt;"&amp;F$8)</f>
        <v>0</v>
      </c>
      <c r="H29" s="43">
        <f>SUMIFS('Journal Entries'!$L:$L,'Journal Entries'!$K:$K,$C29,'Journal Entries'!$C:$C,"&lt;="&amp;H$8,'Journal Entries'!$C:$C,"&gt;"&amp;G$8)</f>
        <v>0</v>
      </c>
      <c r="I29" s="43">
        <f>SUMIFS('Journal Entries'!$L:$L,'Journal Entries'!$K:$K,$C29,'Journal Entries'!$C:$C,"&lt;="&amp;I$8,'Journal Entries'!$C:$C,"&gt;"&amp;H$8)</f>
        <v>0</v>
      </c>
      <c r="J29" s="43">
        <f>SUMIFS('Journal Entries'!$L:$L,'Journal Entries'!$K:$K,$C29,'Journal Entries'!$C:$C,"&lt;="&amp;J$8,'Journal Entries'!$C:$C,"&gt;"&amp;I$8)</f>
        <v>0</v>
      </c>
      <c r="K29" s="43">
        <f>SUMIFS('Journal Entries'!$L:$L,'Journal Entries'!$K:$K,$C29,'Journal Entries'!$C:$C,"&lt;="&amp;K$8,'Journal Entries'!$C:$C,"&gt;"&amp;J$8)</f>
        <v>0</v>
      </c>
      <c r="L29" s="43">
        <f>SUMIFS('Journal Entries'!$L:$L,'Journal Entries'!$K:$K,$C29,'Journal Entries'!$C:$C,"&lt;="&amp;L$8,'Journal Entries'!$C:$C,"&gt;"&amp;K$8)</f>
        <v>0</v>
      </c>
      <c r="M29" s="43">
        <f>SUMIFS('Journal Entries'!$L:$L,'Journal Entries'!$K:$K,$C29,'Journal Entries'!$C:$C,"&lt;="&amp;M$8,'Journal Entries'!$C:$C,"&gt;"&amp;L$8)</f>
        <v>0</v>
      </c>
      <c r="N29" s="43">
        <f>SUMIFS('Journal Entries'!$L:$L,'Journal Entries'!$K:$K,$C29,'Journal Entries'!$C:$C,"&lt;="&amp;N$8,'Journal Entries'!$C:$C,"&gt;"&amp;M$8)</f>
        <v>0</v>
      </c>
      <c r="O29" s="43">
        <f>SUMIFS('Journal Entries'!$L:$L,'Journal Entries'!$K:$K,$C29,'Journal Entries'!$C:$C,"&lt;="&amp;O$8,'Journal Entries'!$C:$C,"&gt;"&amp;N$8)</f>
        <v>0</v>
      </c>
      <c r="P29" s="43">
        <f>SUMIFS('Journal Entries'!$L:$L,'Journal Entries'!$K:$K,$C29,'Journal Entries'!$C:$C,"&lt;="&amp;P$8,'Journal Entries'!$C:$C,"&gt;"&amp;O$8)</f>
        <v>0</v>
      </c>
      <c r="Q29" s="43">
        <f>SUMIFS('Journal Entries'!$L:$L,'Journal Entries'!$K:$K,$C29,'Journal Entries'!$C:$C,"&lt;="&amp;Q$8,'Journal Entries'!$C:$C,"&gt;"&amp;P$8)</f>
        <v>0</v>
      </c>
      <c r="R29" s="43">
        <f>SUMIFS('Journal Entries'!$L:$L,'Journal Entries'!$K:$K,$C29,'Journal Entries'!$C:$C,"&lt;="&amp;R$8,'Journal Entries'!$C:$C,"&gt;"&amp;Q$8)</f>
        <v>0</v>
      </c>
      <c r="S29" s="43">
        <f>SUMIFS('Journal Entries'!$L:$L,'Journal Entries'!$K:$K,$C29,'Journal Entries'!$C:$C,"&lt;="&amp;S$8,'Journal Entries'!$C:$C,"&gt;"&amp;R$8)</f>
        <v>0</v>
      </c>
      <c r="T29" s="43">
        <f>SUMIFS('Journal Entries'!$L:$L,'Journal Entries'!$K:$K,$C29,'Journal Entries'!$C:$C,"&lt;="&amp;T$8,'Journal Entries'!$C:$C,"&gt;"&amp;S$8)</f>
        <v>0</v>
      </c>
      <c r="U29" s="43">
        <f>SUMIFS('Journal Entries'!$L:$L,'Journal Entries'!$K:$K,$C29,'Journal Entries'!$C:$C,"&lt;="&amp;U$8,'Journal Entries'!$C:$C,"&gt;"&amp;T$8)</f>
        <v>0</v>
      </c>
      <c r="V29" s="43">
        <f>SUMIFS('Journal Entries'!$L:$L,'Journal Entries'!$K:$K,$C29,'Journal Entries'!$C:$C,"&lt;="&amp;V$8,'Journal Entries'!$C:$C,"&gt;"&amp;U$8)</f>
        <v>0</v>
      </c>
      <c r="W29" s="43">
        <f>SUMIFS('Journal Entries'!$L:$L,'Journal Entries'!$K:$K,$C29,'Journal Entries'!$C:$C,"&lt;="&amp;W$8,'Journal Entries'!$C:$C,"&gt;"&amp;V$8)</f>
        <v>0</v>
      </c>
      <c r="X29" s="43">
        <f>SUMIFS('Journal Entries'!$L:$L,'Journal Entries'!$K:$K,$C29,'Journal Entries'!$C:$C,"&lt;="&amp;X$8,'Journal Entries'!$C:$C,"&gt;"&amp;W$8)</f>
        <v>0</v>
      </c>
      <c r="Y29" s="43">
        <f>SUMIFS('Journal Entries'!$L:$L,'Journal Entries'!$K:$K,$C29,'Journal Entries'!$C:$C,"&lt;="&amp;Y$8,'Journal Entries'!$C:$C,"&gt;"&amp;X$8)</f>
        <v>0</v>
      </c>
      <c r="Z29" s="43">
        <f>SUMIFS('Journal Entries'!$L:$L,'Journal Entries'!$K:$K,$C29,'Journal Entries'!$C:$C,"&lt;="&amp;Z$8,'Journal Entries'!$C:$C,"&gt;"&amp;Y$8)</f>
        <v>0</v>
      </c>
      <c r="AA29" s="43">
        <f>SUMIFS('Journal Entries'!$L:$L,'Journal Entries'!$K:$K,$C29,'Journal Entries'!$C:$C,"&lt;="&amp;AA$8,'Journal Entries'!$C:$C,"&gt;"&amp;Z$8)</f>
        <v>0</v>
      </c>
      <c r="AB29" s="43">
        <f>SUMIFS('Journal Entries'!$L:$L,'Journal Entries'!$K:$K,$C29,'Journal Entries'!$C:$C,"&lt;="&amp;AB$8,'Journal Entries'!$C:$C,"&gt;"&amp;AA$8)</f>
        <v>0</v>
      </c>
      <c r="AC29" s="43">
        <f>SUMIFS('Journal Entries'!$L:$L,'Journal Entries'!$K:$K,$C29,'Journal Entries'!$C:$C,"&lt;="&amp;AC$8,'Journal Entries'!$C:$C,"&gt;"&amp;AB$8)</f>
        <v>0</v>
      </c>
      <c r="AD29" s="43">
        <f>SUMIFS('Journal Entries'!$L:$L,'Journal Entries'!$K:$K,$C29,'Journal Entries'!$C:$C,"&lt;="&amp;AD$8,'Journal Entries'!$C:$C,"&gt;"&amp;AC$8)</f>
        <v>0</v>
      </c>
      <c r="AE29" s="43">
        <f>SUMIFS('Journal Entries'!$L:$L,'Journal Entries'!$K:$K,$C29,'Journal Entries'!$C:$C,"&lt;="&amp;AE$8,'Journal Entries'!$C:$C,"&gt;"&amp;AD$8)</f>
        <v>0</v>
      </c>
      <c r="AF29" s="43">
        <f>SUMIFS('Journal Entries'!$L:$L,'Journal Entries'!$K:$K,$C29,'Journal Entries'!$C:$C,"&lt;="&amp;AF$8,'Journal Entries'!$C:$C,"&gt;"&amp;AE$8)</f>
        <v>0</v>
      </c>
      <c r="AG29" s="43">
        <f>SUMIFS('Journal Entries'!$L:$L,'Journal Entries'!$K:$K,$C29,'Journal Entries'!$C:$C,"&lt;="&amp;AG$8,'Journal Entries'!$C:$C,"&gt;"&amp;AF$8)</f>
        <v>0</v>
      </c>
      <c r="AH29" s="43">
        <f>SUMIFS('Journal Entries'!$L:$L,'Journal Entries'!$K:$K,$C29,'Journal Entries'!$C:$C,"&lt;="&amp;AH$8,'Journal Entries'!$C:$C,"&gt;"&amp;AG$8)</f>
        <v>0</v>
      </c>
      <c r="AI29" s="43">
        <f>SUMIFS('Journal Entries'!$L:$L,'Journal Entries'!$K:$K,$C29,'Journal Entries'!$C:$C,"&lt;="&amp;AI$8,'Journal Entries'!$C:$C,"&gt;"&amp;AH$8)</f>
        <v>0</v>
      </c>
      <c r="AJ29" s="43">
        <f>SUMIFS('Journal Entries'!$L:$L,'Journal Entries'!$K:$K,$C29,'Journal Entries'!$C:$C,"&lt;="&amp;AJ$8,'Journal Entries'!$C:$C,"&gt;"&amp;AI$8)</f>
        <v>0</v>
      </c>
      <c r="AK29" s="43">
        <f>SUMIFS('Journal Entries'!$L:$L,'Journal Entries'!$K:$K,$C29,'Journal Entries'!$C:$C,"&lt;="&amp;AK$8,'Journal Entries'!$C:$C,"&gt;"&amp;AJ$8)</f>
        <v>0</v>
      </c>
      <c r="AL29" s="43">
        <f>SUMIFS('Journal Entries'!$L:$L,'Journal Entries'!$K:$K,$C29,'Journal Entries'!$C:$C,"&lt;="&amp;AL$8,'Journal Entries'!$C:$C,"&gt;"&amp;AK$8)</f>
        <v>0</v>
      </c>
      <c r="AM29" s="43">
        <f>SUMIFS('Journal Entries'!$L:$L,'Journal Entries'!$K:$K,$C29,'Journal Entries'!$C:$C,"&lt;="&amp;AM$8,'Journal Entries'!$C:$C,"&gt;"&amp;AL$8)</f>
        <v>0</v>
      </c>
      <c r="AN29" s="43">
        <f>SUMIFS('Journal Entries'!$L:$L,'Journal Entries'!$K:$K,$C29,'Journal Entries'!$C:$C,"&lt;="&amp;AN$8,'Journal Entries'!$C:$C,"&gt;"&amp;AM$8)</f>
        <v>0</v>
      </c>
      <c r="AO29" s="43">
        <f>SUMIFS('Journal Entries'!$L:$L,'Journal Entries'!$K:$K,$C29,'Journal Entries'!$C:$C,"&lt;="&amp;AO$8,'Journal Entries'!$C:$C,"&gt;"&amp;AN$8)</f>
        <v>0</v>
      </c>
      <c r="AP29" s="43">
        <f>SUMIFS('Journal Entries'!$L:$L,'Journal Entries'!$K:$K,$C29,'Journal Entries'!$C:$C,"&lt;="&amp;AP$8,'Journal Entries'!$C:$C,"&gt;"&amp;AO$8)</f>
        <v>0</v>
      </c>
      <c r="AQ29" s="43">
        <f>SUMIFS('Journal Entries'!$L:$L,'Journal Entries'!$K:$K,$C29,'Journal Entries'!$C:$C,"&lt;="&amp;AQ$8,'Journal Entries'!$C:$C,"&gt;"&amp;AP$8)</f>
        <v>0</v>
      </c>
      <c r="AR29" s="43">
        <f>SUMIFS('Journal Entries'!$L:$L,'Journal Entries'!$K:$K,$C29,'Journal Entries'!$C:$C,"&lt;="&amp;AR$8,'Journal Entries'!$C:$C,"&gt;"&amp;AQ$8)</f>
        <v>0</v>
      </c>
      <c r="AS29" s="43">
        <f>SUMIFS('Journal Entries'!$L:$L,'Journal Entries'!$K:$K,$C29,'Journal Entries'!$C:$C,"&lt;="&amp;AS$8,'Journal Entries'!$C:$C,"&gt;"&amp;AR$8)</f>
        <v>0</v>
      </c>
      <c r="AT29" s="43">
        <f>SUMIFS('Journal Entries'!$L:$L,'Journal Entries'!$K:$K,$C29,'Journal Entries'!$C:$C,"&lt;="&amp;AT$8,'Journal Entries'!$C:$C,"&gt;"&amp;AS$8)</f>
        <v>0</v>
      </c>
      <c r="AU29" s="43">
        <f>SUMIFS('Journal Entries'!$L:$L,'Journal Entries'!$K:$K,$C29,'Journal Entries'!$C:$C,"&lt;="&amp;AU$8,'Journal Entries'!$C:$C,"&gt;"&amp;AT$8)</f>
        <v>0</v>
      </c>
      <c r="AV29" s="43">
        <f>SUMIFS('Journal Entries'!$L:$L,'Journal Entries'!$K:$K,$C29,'Journal Entries'!$C:$C,"&lt;="&amp;AV$8,'Journal Entries'!$C:$C,"&gt;"&amp;AU$8)</f>
        <v>0</v>
      </c>
      <c r="AW29" s="43">
        <f>SUMIFS('Journal Entries'!$L:$L,'Journal Entries'!$K:$K,$C29,'Journal Entries'!$C:$C,"&lt;="&amp;AW$8,'Journal Entries'!$C:$C,"&gt;"&amp;AV$8)</f>
        <v>0</v>
      </c>
      <c r="AX29" s="43">
        <f>SUMIFS('Journal Entries'!$L:$L,'Journal Entries'!$K:$K,$C29,'Journal Entries'!$C:$C,"&lt;="&amp;AX$8,'Journal Entries'!$C:$C,"&gt;"&amp;AW$8)</f>
        <v>0</v>
      </c>
      <c r="AY29" s="43">
        <f>SUMIFS('Journal Entries'!$L:$L,'Journal Entries'!$K:$K,$C29,'Journal Entries'!$C:$C,"&lt;="&amp;AY$8,'Journal Entries'!$C:$C,"&gt;"&amp;AX$8)</f>
        <v>0</v>
      </c>
      <c r="AZ29" s="43">
        <f>SUMIFS('Journal Entries'!$L:$L,'Journal Entries'!$K:$K,$C29,'Journal Entries'!$C:$C,"&lt;="&amp;AZ$8,'Journal Entries'!$C:$C,"&gt;"&amp;AY$8)</f>
        <v>0</v>
      </c>
      <c r="BA29" s="43">
        <f>SUMIFS('Journal Entries'!$L:$L,'Journal Entries'!$K:$K,$C29,'Journal Entries'!$C:$C,"&lt;="&amp;BA$8,'Journal Entries'!$C:$C,"&gt;"&amp;AZ$8)</f>
        <v>0</v>
      </c>
      <c r="BB29" s="43">
        <f>SUMIFS('Journal Entries'!$L:$L,'Journal Entries'!$K:$K,$C29,'Journal Entries'!$C:$C,"&lt;="&amp;BB$8,'Journal Entries'!$C:$C,"&gt;"&amp;BA$8)</f>
        <v>0</v>
      </c>
      <c r="BC29" s="43">
        <f>SUMIFS('Journal Entries'!$L:$L,'Journal Entries'!$K:$K,$C29,'Journal Entries'!$C:$C,"&lt;="&amp;BC$8,'Journal Entries'!$C:$C,"&gt;"&amp;BB$8)</f>
        <v>0</v>
      </c>
      <c r="BD29" s="43">
        <f>SUMIFS('Journal Entries'!$L:$L,'Journal Entries'!$K:$K,$C29,'Journal Entries'!$C:$C,"&lt;="&amp;BD$8,'Journal Entries'!$C:$C,"&gt;"&amp;BC$8)</f>
        <v>0</v>
      </c>
      <c r="BE29" s="43">
        <f>SUMIFS('Journal Entries'!$L:$L,'Journal Entries'!$K:$K,$C29,'Journal Entries'!$C:$C,"&lt;="&amp;BE$8,'Journal Entries'!$C:$C,"&gt;"&amp;BD$8)</f>
        <v>0</v>
      </c>
      <c r="BF29" s="43">
        <f>SUMIFS('Journal Entries'!$L:$L,'Journal Entries'!$K:$K,$C29,'Journal Entries'!$C:$C,"&lt;="&amp;BF$8,'Journal Entries'!$C:$C,"&gt;"&amp;BE$8)</f>
        <v>0</v>
      </c>
      <c r="BG29" s="43">
        <f>SUMIFS('Journal Entries'!$L:$L,'Journal Entries'!$K:$K,$C29,'Journal Entries'!$C:$C,"&lt;="&amp;BG$8,'Journal Entries'!$C:$C,"&gt;"&amp;BF$8)</f>
        <v>0</v>
      </c>
      <c r="BH29" s="43">
        <f>SUMIFS('Journal Entries'!$L:$L,'Journal Entries'!$K:$K,$C29,'Journal Entries'!$C:$C,"&lt;="&amp;BH$8,'Journal Entries'!$C:$C,"&gt;"&amp;BG$8)</f>
        <v>0</v>
      </c>
      <c r="BI29" s="43">
        <f>SUMIFS('Journal Entries'!$L:$L,'Journal Entries'!$K:$K,$C29,'Journal Entries'!$C:$C,"&lt;="&amp;BI$8,'Journal Entries'!$C:$C,"&gt;"&amp;BH$8)</f>
        <v>0</v>
      </c>
      <c r="BJ29" s="43">
        <f>SUMIFS('Journal Entries'!$L:$L,'Journal Entries'!$K:$K,$C29,'Journal Entries'!$C:$C,"&lt;="&amp;BJ$8,'Journal Entries'!$C:$C,"&gt;"&amp;BI$8)</f>
        <v>0</v>
      </c>
      <c r="BK29" s="43">
        <f>SUMIFS('Journal Entries'!$L:$L,'Journal Entries'!$K:$K,$C29,'Journal Entries'!$C:$C,"&lt;="&amp;BK$8,'Journal Entries'!$C:$C,"&gt;"&amp;BJ$8)</f>
        <v>0</v>
      </c>
      <c r="BL29" s="43">
        <f>SUMIFS('Journal Entries'!$L:$L,'Journal Entries'!$K:$K,$C29,'Journal Entries'!$C:$C,"&lt;="&amp;BL$8,'Journal Entries'!$C:$C,"&gt;"&amp;BK$8)</f>
        <v>0</v>
      </c>
    </row>
    <row r="30" spans="2:64" x14ac:dyDescent="0.25">
      <c r="B30" s="10">
        <v>2080</v>
      </c>
      <c r="C30" s="10" t="str">
        <f>VLOOKUP(B30,'Chart of Accounts'!$B$3:$C$95,2,0)</f>
        <v>Fund administration fee payable</v>
      </c>
      <c r="D30" s="525">
        <f t="shared" si="2"/>
        <v>-60000</v>
      </c>
      <c r="E30" s="43">
        <f>SUMIFS('Journal Entries'!$L:$L,'Journal Entries'!$K:$K,$C30,'Journal Entries'!$C:$C,"&lt;="&amp;E$8,'Journal Entries'!$C:$C,"&gt;"&amp;D$8)</f>
        <v>0</v>
      </c>
      <c r="F30" s="43">
        <f>SUMIFS('Journal Entries'!$L:$L,'Journal Entries'!$K:$K,$C30,'Journal Entries'!$C:$C,"&lt;="&amp;F$8,'Journal Entries'!$C:$C,"&gt;"&amp;E$8)</f>
        <v>0</v>
      </c>
      <c r="G30" s="43">
        <f>SUMIFS('Journal Entries'!$L:$L,'Journal Entries'!$K:$K,$C30,'Journal Entries'!$C:$C,"&lt;="&amp;G$8,'Journal Entries'!$C:$C,"&gt;"&amp;F$8)</f>
        <v>0</v>
      </c>
      <c r="H30" s="43">
        <f>SUMIFS('Journal Entries'!$L:$L,'Journal Entries'!$K:$K,$C30,'Journal Entries'!$C:$C,"&lt;="&amp;H$8,'Journal Entries'!$C:$C,"&gt;"&amp;G$8)</f>
        <v>0</v>
      </c>
      <c r="I30" s="43">
        <f>SUMIFS('Journal Entries'!$L:$L,'Journal Entries'!$K:$K,$C30,'Journal Entries'!$C:$C,"&lt;="&amp;I$8,'Journal Entries'!$C:$C,"&gt;"&amp;H$8)</f>
        <v>0</v>
      </c>
      <c r="J30" s="43">
        <f>SUMIFS('Journal Entries'!$L:$L,'Journal Entries'!$K:$K,$C30,'Journal Entries'!$C:$C,"&lt;="&amp;J$8,'Journal Entries'!$C:$C,"&gt;"&amp;I$8)</f>
        <v>0</v>
      </c>
      <c r="K30" s="43">
        <f>SUMIFS('Journal Entries'!$L:$L,'Journal Entries'!$K:$K,$C30,'Journal Entries'!$C:$C,"&lt;="&amp;K$8,'Journal Entries'!$C:$C,"&gt;"&amp;J$8)</f>
        <v>0</v>
      </c>
      <c r="L30" s="43">
        <f>SUMIFS('Journal Entries'!$L:$L,'Journal Entries'!$K:$K,$C30,'Journal Entries'!$C:$C,"&lt;="&amp;L$8,'Journal Entries'!$C:$C,"&gt;"&amp;K$8)</f>
        <v>0</v>
      </c>
      <c r="M30" s="43">
        <f>SUMIFS('Journal Entries'!$L:$L,'Journal Entries'!$K:$K,$C30,'Journal Entries'!$C:$C,"&lt;="&amp;M$8,'Journal Entries'!$C:$C,"&gt;"&amp;L$8)</f>
        <v>0</v>
      </c>
      <c r="N30" s="43">
        <f>SUMIFS('Journal Entries'!$L:$L,'Journal Entries'!$K:$K,$C30,'Journal Entries'!$C:$C,"&lt;="&amp;N$8,'Journal Entries'!$C:$C,"&gt;"&amp;M$8)</f>
        <v>0</v>
      </c>
      <c r="O30" s="43">
        <f>SUMIFS('Journal Entries'!$L:$L,'Journal Entries'!$K:$K,$C30,'Journal Entries'!$C:$C,"&lt;="&amp;O$8,'Journal Entries'!$C:$C,"&gt;"&amp;N$8)</f>
        <v>0</v>
      </c>
      <c r="P30" s="43">
        <f>SUMIFS('Journal Entries'!$L:$L,'Journal Entries'!$K:$K,$C30,'Journal Entries'!$C:$C,"&lt;="&amp;P$8,'Journal Entries'!$C:$C,"&gt;"&amp;O$8)</f>
        <v>-60000</v>
      </c>
      <c r="Q30" s="43">
        <f>SUMIFS('Journal Entries'!$L:$L,'Journal Entries'!$K:$K,$C30,'Journal Entries'!$C:$C,"&lt;="&amp;Q$8,'Journal Entries'!$C:$C,"&gt;"&amp;P$8)</f>
        <v>0</v>
      </c>
      <c r="R30" s="43">
        <f>SUMIFS('Journal Entries'!$L:$L,'Journal Entries'!$K:$K,$C30,'Journal Entries'!$C:$C,"&lt;="&amp;R$8,'Journal Entries'!$C:$C,"&gt;"&amp;Q$8)</f>
        <v>0</v>
      </c>
      <c r="S30" s="43">
        <f>SUMIFS('Journal Entries'!$L:$L,'Journal Entries'!$K:$K,$C30,'Journal Entries'!$C:$C,"&lt;="&amp;S$8,'Journal Entries'!$C:$C,"&gt;"&amp;R$8)</f>
        <v>0</v>
      </c>
      <c r="T30" s="43">
        <f>SUMIFS('Journal Entries'!$L:$L,'Journal Entries'!$K:$K,$C30,'Journal Entries'!$C:$C,"&lt;="&amp;T$8,'Journal Entries'!$C:$C,"&gt;"&amp;S$8)</f>
        <v>0</v>
      </c>
      <c r="U30" s="43">
        <f>SUMIFS('Journal Entries'!$L:$L,'Journal Entries'!$K:$K,$C30,'Journal Entries'!$C:$C,"&lt;="&amp;U$8,'Journal Entries'!$C:$C,"&gt;"&amp;T$8)</f>
        <v>0</v>
      </c>
      <c r="V30" s="43">
        <f>SUMIFS('Journal Entries'!$L:$L,'Journal Entries'!$K:$K,$C30,'Journal Entries'!$C:$C,"&lt;="&amp;V$8,'Journal Entries'!$C:$C,"&gt;"&amp;U$8)</f>
        <v>0</v>
      </c>
      <c r="W30" s="43">
        <f>SUMIFS('Journal Entries'!$L:$L,'Journal Entries'!$K:$K,$C30,'Journal Entries'!$C:$C,"&lt;="&amp;W$8,'Journal Entries'!$C:$C,"&gt;"&amp;V$8)</f>
        <v>0</v>
      </c>
      <c r="X30" s="43">
        <f>SUMIFS('Journal Entries'!$L:$L,'Journal Entries'!$K:$K,$C30,'Journal Entries'!$C:$C,"&lt;="&amp;X$8,'Journal Entries'!$C:$C,"&gt;"&amp;W$8)</f>
        <v>0</v>
      </c>
      <c r="Y30" s="43">
        <f>SUMIFS('Journal Entries'!$L:$L,'Journal Entries'!$K:$K,$C30,'Journal Entries'!$C:$C,"&lt;="&amp;Y$8,'Journal Entries'!$C:$C,"&gt;"&amp;X$8)</f>
        <v>0</v>
      </c>
      <c r="Z30" s="43">
        <f>SUMIFS('Journal Entries'!$L:$L,'Journal Entries'!$K:$K,$C30,'Journal Entries'!$C:$C,"&lt;="&amp;Z$8,'Journal Entries'!$C:$C,"&gt;"&amp;Y$8)</f>
        <v>0</v>
      </c>
      <c r="AA30" s="43">
        <f>SUMIFS('Journal Entries'!$L:$L,'Journal Entries'!$K:$K,$C30,'Journal Entries'!$C:$C,"&lt;="&amp;AA$8,'Journal Entries'!$C:$C,"&gt;"&amp;Z$8)</f>
        <v>0</v>
      </c>
      <c r="AB30" s="43">
        <f>SUMIFS('Journal Entries'!$L:$L,'Journal Entries'!$K:$K,$C30,'Journal Entries'!$C:$C,"&lt;="&amp;AB$8,'Journal Entries'!$C:$C,"&gt;"&amp;AA$8)</f>
        <v>0</v>
      </c>
      <c r="AC30" s="43">
        <f>SUMIFS('Journal Entries'!$L:$L,'Journal Entries'!$K:$K,$C30,'Journal Entries'!$C:$C,"&lt;="&amp;AC$8,'Journal Entries'!$C:$C,"&gt;"&amp;AB$8)</f>
        <v>0</v>
      </c>
      <c r="AD30" s="43">
        <f>SUMIFS('Journal Entries'!$L:$L,'Journal Entries'!$K:$K,$C30,'Journal Entries'!$C:$C,"&lt;="&amp;AD$8,'Journal Entries'!$C:$C,"&gt;"&amp;AC$8)</f>
        <v>0</v>
      </c>
      <c r="AE30" s="43">
        <f>SUMIFS('Journal Entries'!$L:$L,'Journal Entries'!$K:$K,$C30,'Journal Entries'!$C:$C,"&lt;="&amp;AE$8,'Journal Entries'!$C:$C,"&gt;"&amp;AD$8)</f>
        <v>0</v>
      </c>
      <c r="AF30" s="43">
        <f>SUMIFS('Journal Entries'!$L:$L,'Journal Entries'!$K:$K,$C30,'Journal Entries'!$C:$C,"&lt;="&amp;AF$8,'Journal Entries'!$C:$C,"&gt;"&amp;AE$8)</f>
        <v>0</v>
      </c>
      <c r="AG30" s="43">
        <f>SUMIFS('Journal Entries'!$L:$L,'Journal Entries'!$K:$K,$C30,'Journal Entries'!$C:$C,"&lt;="&amp;AG$8,'Journal Entries'!$C:$C,"&gt;"&amp;AF$8)</f>
        <v>0</v>
      </c>
      <c r="AH30" s="43">
        <f>SUMIFS('Journal Entries'!$L:$L,'Journal Entries'!$K:$K,$C30,'Journal Entries'!$C:$C,"&lt;="&amp;AH$8,'Journal Entries'!$C:$C,"&gt;"&amp;AG$8)</f>
        <v>0</v>
      </c>
      <c r="AI30" s="43">
        <f>SUMIFS('Journal Entries'!$L:$L,'Journal Entries'!$K:$K,$C30,'Journal Entries'!$C:$C,"&lt;="&amp;AI$8,'Journal Entries'!$C:$C,"&gt;"&amp;AH$8)</f>
        <v>0</v>
      </c>
      <c r="AJ30" s="43">
        <f>SUMIFS('Journal Entries'!$L:$L,'Journal Entries'!$K:$K,$C30,'Journal Entries'!$C:$C,"&lt;="&amp;AJ$8,'Journal Entries'!$C:$C,"&gt;"&amp;AI$8)</f>
        <v>0</v>
      </c>
      <c r="AK30" s="43">
        <f>SUMIFS('Journal Entries'!$L:$L,'Journal Entries'!$K:$K,$C30,'Journal Entries'!$C:$C,"&lt;="&amp;AK$8,'Journal Entries'!$C:$C,"&gt;"&amp;AJ$8)</f>
        <v>0</v>
      </c>
      <c r="AL30" s="43">
        <f>SUMIFS('Journal Entries'!$L:$L,'Journal Entries'!$K:$K,$C30,'Journal Entries'!$C:$C,"&lt;="&amp;AL$8,'Journal Entries'!$C:$C,"&gt;"&amp;AK$8)</f>
        <v>0</v>
      </c>
      <c r="AM30" s="43">
        <f>SUMIFS('Journal Entries'!$L:$L,'Journal Entries'!$K:$K,$C30,'Journal Entries'!$C:$C,"&lt;="&amp;AM$8,'Journal Entries'!$C:$C,"&gt;"&amp;AL$8)</f>
        <v>0</v>
      </c>
      <c r="AN30" s="43">
        <f>SUMIFS('Journal Entries'!$L:$L,'Journal Entries'!$K:$K,$C30,'Journal Entries'!$C:$C,"&lt;="&amp;AN$8,'Journal Entries'!$C:$C,"&gt;"&amp;AM$8)</f>
        <v>0</v>
      </c>
      <c r="AO30" s="43">
        <f>SUMIFS('Journal Entries'!$L:$L,'Journal Entries'!$K:$K,$C30,'Journal Entries'!$C:$C,"&lt;="&amp;AO$8,'Journal Entries'!$C:$C,"&gt;"&amp;AN$8)</f>
        <v>0</v>
      </c>
      <c r="AP30" s="43">
        <f>SUMIFS('Journal Entries'!$L:$L,'Journal Entries'!$K:$K,$C30,'Journal Entries'!$C:$C,"&lt;="&amp;AP$8,'Journal Entries'!$C:$C,"&gt;"&amp;AO$8)</f>
        <v>0</v>
      </c>
      <c r="AQ30" s="43">
        <f>SUMIFS('Journal Entries'!$L:$L,'Journal Entries'!$K:$K,$C30,'Journal Entries'!$C:$C,"&lt;="&amp;AQ$8,'Journal Entries'!$C:$C,"&gt;"&amp;AP$8)</f>
        <v>0</v>
      </c>
      <c r="AR30" s="43">
        <f>SUMIFS('Journal Entries'!$L:$L,'Journal Entries'!$K:$K,$C30,'Journal Entries'!$C:$C,"&lt;="&amp;AR$8,'Journal Entries'!$C:$C,"&gt;"&amp;AQ$8)</f>
        <v>0</v>
      </c>
      <c r="AS30" s="43">
        <f>SUMIFS('Journal Entries'!$L:$L,'Journal Entries'!$K:$K,$C30,'Journal Entries'!$C:$C,"&lt;="&amp;AS$8,'Journal Entries'!$C:$C,"&gt;"&amp;AR$8)</f>
        <v>0</v>
      </c>
      <c r="AT30" s="43">
        <f>SUMIFS('Journal Entries'!$L:$L,'Journal Entries'!$K:$K,$C30,'Journal Entries'!$C:$C,"&lt;="&amp;AT$8,'Journal Entries'!$C:$C,"&gt;"&amp;AS$8)</f>
        <v>0</v>
      </c>
      <c r="AU30" s="43">
        <f>SUMIFS('Journal Entries'!$L:$L,'Journal Entries'!$K:$K,$C30,'Journal Entries'!$C:$C,"&lt;="&amp;AU$8,'Journal Entries'!$C:$C,"&gt;"&amp;AT$8)</f>
        <v>0</v>
      </c>
      <c r="AV30" s="43">
        <f>SUMIFS('Journal Entries'!$L:$L,'Journal Entries'!$K:$K,$C30,'Journal Entries'!$C:$C,"&lt;="&amp;AV$8,'Journal Entries'!$C:$C,"&gt;"&amp;AU$8)</f>
        <v>0</v>
      </c>
      <c r="AW30" s="43">
        <f>SUMIFS('Journal Entries'!$L:$L,'Journal Entries'!$K:$K,$C30,'Journal Entries'!$C:$C,"&lt;="&amp;AW$8,'Journal Entries'!$C:$C,"&gt;"&amp;AV$8)</f>
        <v>0</v>
      </c>
      <c r="AX30" s="43">
        <f>SUMIFS('Journal Entries'!$L:$L,'Journal Entries'!$K:$K,$C30,'Journal Entries'!$C:$C,"&lt;="&amp;AX$8,'Journal Entries'!$C:$C,"&gt;"&amp;AW$8)</f>
        <v>0</v>
      </c>
      <c r="AY30" s="43">
        <f>SUMIFS('Journal Entries'!$L:$L,'Journal Entries'!$K:$K,$C30,'Journal Entries'!$C:$C,"&lt;="&amp;AY$8,'Journal Entries'!$C:$C,"&gt;"&amp;AX$8)</f>
        <v>0</v>
      </c>
      <c r="AZ30" s="43">
        <f>SUMIFS('Journal Entries'!$L:$L,'Journal Entries'!$K:$K,$C30,'Journal Entries'!$C:$C,"&lt;="&amp;AZ$8,'Journal Entries'!$C:$C,"&gt;"&amp;AY$8)</f>
        <v>0</v>
      </c>
      <c r="BA30" s="43">
        <f>SUMIFS('Journal Entries'!$L:$L,'Journal Entries'!$K:$K,$C30,'Journal Entries'!$C:$C,"&lt;="&amp;BA$8,'Journal Entries'!$C:$C,"&gt;"&amp;AZ$8)</f>
        <v>0</v>
      </c>
      <c r="BB30" s="43">
        <f>SUMIFS('Journal Entries'!$L:$L,'Journal Entries'!$K:$K,$C30,'Journal Entries'!$C:$C,"&lt;="&amp;BB$8,'Journal Entries'!$C:$C,"&gt;"&amp;BA$8)</f>
        <v>0</v>
      </c>
      <c r="BC30" s="43">
        <f>SUMIFS('Journal Entries'!$L:$L,'Journal Entries'!$K:$K,$C30,'Journal Entries'!$C:$C,"&lt;="&amp;BC$8,'Journal Entries'!$C:$C,"&gt;"&amp;BB$8)</f>
        <v>0</v>
      </c>
      <c r="BD30" s="43">
        <f>SUMIFS('Journal Entries'!$L:$L,'Journal Entries'!$K:$K,$C30,'Journal Entries'!$C:$C,"&lt;="&amp;BD$8,'Journal Entries'!$C:$C,"&gt;"&amp;BC$8)</f>
        <v>0</v>
      </c>
      <c r="BE30" s="43">
        <f>SUMIFS('Journal Entries'!$L:$L,'Journal Entries'!$K:$K,$C30,'Journal Entries'!$C:$C,"&lt;="&amp;BE$8,'Journal Entries'!$C:$C,"&gt;"&amp;BD$8)</f>
        <v>0</v>
      </c>
      <c r="BF30" s="43">
        <f>SUMIFS('Journal Entries'!$L:$L,'Journal Entries'!$K:$K,$C30,'Journal Entries'!$C:$C,"&lt;="&amp;BF$8,'Journal Entries'!$C:$C,"&gt;"&amp;BE$8)</f>
        <v>0</v>
      </c>
      <c r="BG30" s="43">
        <f>SUMIFS('Journal Entries'!$L:$L,'Journal Entries'!$K:$K,$C30,'Journal Entries'!$C:$C,"&lt;="&amp;BG$8,'Journal Entries'!$C:$C,"&gt;"&amp;BF$8)</f>
        <v>0</v>
      </c>
      <c r="BH30" s="43">
        <f>SUMIFS('Journal Entries'!$L:$L,'Journal Entries'!$K:$K,$C30,'Journal Entries'!$C:$C,"&lt;="&amp;BH$8,'Journal Entries'!$C:$C,"&gt;"&amp;BG$8)</f>
        <v>0</v>
      </c>
      <c r="BI30" s="43">
        <f>SUMIFS('Journal Entries'!$L:$L,'Journal Entries'!$K:$K,$C30,'Journal Entries'!$C:$C,"&lt;="&amp;BI$8,'Journal Entries'!$C:$C,"&gt;"&amp;BH$8)</f>
        <v>0</v>
      </c>
      <c r="BJ30" s="43">
        <f>SUMIFS('Journal Entries'!$L:$L,'Journal Entries'!$K:$K,$C30,'Journal Entries'!$C:$C,"&lt;="&amp;BJ$8,'Journal Entries'!$C:$C,"&gt;"&amp;BI$8)</f>
        <v>0</v>
      </c>
      <c r="BK30" s="43">
        <f>SUMIFS('Journal Entries'!$L:$L,'Journal Entries'!$K:$K,$C30,'Journal Entries'!$C:$C,"&lt;="&amp;BK$8,'Journal Entries'!$C:$C,"&gt;"&amp;BJ$8)</f>
        <v>0</v>
      </c>
      <c r="BL30" s="43">
        <f>SUMIFS('Journal Entries'!$L:$L,'Journal Entries'!$K:$K,$C30,'Journal Entries'!$C:$C,"&lt;="&amp;BL$8,'Journal Entries'!$C:$C,"&gt;"&amp;BK$8)</f>
        <v>0</v>
      </c>
    </row>
    <row r="31" spans="2:64" x14ac:dyDescent="0.25">
      <c r="B31" s="10">
        <v>2090</v>
      </c>
      <c r="C31" s="10" t="str">
        <f>VLOOKUP(B31,'Chart of Accounts'!$B$3:$C$95,2,0)</f>
        <v>Director fee payable</v>
      </c>
      <c r="D31" s="525">
        <f t="shared" si="2"/>
        <v>0</v>
      </c>
      <c r="E31" s="43">
        <f>SUMIFS('Journal Entries'!$L:$L,'Journal Entries'!$K:$K,$C31,'Journal Entries'!$C:$C,"&lt;="&amp;E$8,'Journal Entries'!$C:$C,"&gt;"&amp;D$8)</f>
        <v>0</v>
      </c>
      <c r="F31" s="43">
        <f>SUMIFS('Journal Entries'!$L:$L,'Journal Entries'!$K:$K,$C31,'Journal Entries'!$C:$C,"&lt;="&amp;F$8,'Journal Entries'!$C:$C,"&gt;"&amp;E$8)</f>
        <v>0</v>
      </c>
      <c r="G31" s="43">
        <f>SUMIFS('Journal Entries'!$L:$L,'Journal Entries'!$K:$K,$C31,'Journal Entries'!$C:$C,"&lt;="&amp;G$8,'Journal Entries'!$C:$C,"&gt;"&amp;F$8)</f>
        <v>0</v>
      </c>
      <c r="H31" s="43">
        <f>SUMIFS('Journal Entries'!$L:$L,'Journal Entries'!$K:$K,$C31,'Journal Entries'!$C:$C,"&lt;="&amp;H$8,'Journal Entries'!$C:$C,"&gt;"&amp;G$8)</f>
        <v>0</v>
      </c>
      <c r="I31" s="43">
        <f>SUMIFS('Journal Entries'!$L:$L,'Journal Entries'!$K:$K,$C31,'Journal Entries'!$C:$C,"&lt;="&amp;I$8,'Journal Entries'!$C:$C,"&gt;"&amp;H$8)</f>
        <v>0</v>
      </c>
      <c r="J31" s="43">
        <f>SUMIFS('Journal Entries'!$L:$L,'Journal Entries'!$K:$K,$C31,'Journal Entries'!$C:$C,"&lt;="&amp;J$8,'Journal Entries'!$C:$C,"&gt;"&amp;I$8)</f>
        <v>0</v>
      </c>
      <c r="K31" s="43">
        <f>SUMIFS('Journal Entries'!$L:$L,'Journal Entries'!$K:$K,$C31,'Journal Entries'!$C:$C,"&lt;="&amp;K$8,'Journal Entries'!$C:$C,"&gt;"&amp;J$8)</f>
        <v>0</v>
      </c>
      <c r="L31" s="43">
        <f>SUMIFS('Journal Entries'!$L:$L,'Journal Entries'!$K:$K,$C31,'Journal Entries'!$C:$C,"&lt;="&amp;L$8,'Journal Entries'!$C:$C,"&gt;"&amp;K$8)</f>
        <v>0</v>
      </c>
      <c r="M31" s="43">
        <f>SUMIFS('Journal Entries'!$L:$L,'Journal Entries'!$K:$K,$C31,'Journal Entries'!$C:$C,"&lt;="&amp;M$8,'Journal Entries'!$C:$C,"&gt;"&amp;L$8)</f>
        <v>0</v>
      </c>
      <c r="N31" s="43">
        <f>SUMIFS('Journal Entries'!$L:$L,'Journal Entries'!$K:$K,$C31,'Journal Entries'!$C:$C,"&lt;="&amp;N$8,'Journal Entries'!$C:$C,"&gt;"&amp;M$8)</f>
        <v>0</v>
      </c>
      <c r="O31" s="43">
        <f>SUMIFS('Journal Entries'!$L:$L,'Journal Entries'!$K:$K,$C31,'Journal Entries'!$C:$C,"&lt;="&amp;O$8,'Journal Entries'!$C:$C,"&gt;"&amp;N$8)</f>
        <v>0</v>
      </c>
      <c r="P31" s="43">
        <f>SUMIFS('Journal Entries'!$L:$L,'Journal Entries'!$K:$K,$C31,'Journal Entries'!$C:$C,"&lt;="&amp;P$8,'Journal Entries'!$C:$C,"&gt;"&amp;O$8)</f>
        <v>0</v>
      </c>
      <c r="Q31" s="43">
        <f>SUMIFS('Journal Entries'!$L:$L,'Journal Entries'!$K:$K,$C31,'Journal Entries'!$C:$C,"&lt;="&amp;Q$8,'Journal Entries'!$C:$C,"&gt;"&amp;P$8)</f>
        <v>0</v>
      </c>
      <c r="R31" s="43">
        <f>SUMIFS('Journal Entries'!$L:$L,'Journal Entries'!$K:$K,$C31,'Journal Entries'!$C:$C,"&lt;="&amp;R$8,'Journal Entries'!$C:$C,"&gt;"&amp;Q$8)</f>
        <v>0</v>
      </c>
      <c r="S31" s="43">
        <f>SUMIFS('Journal Entries'!$L:$L,'Journal Entries'!$K:$K,$C31,'Journal Entries'!$C:$C,"&lt;="&amp;S$8,'Journal Entries'!$C:$C,"&gt;"&amp;R$8)</f>
        <v>0</v>
      </c>
      <c r="T31" s="43">
        <f>SUMIFS('Journal Entries'!$L:$L,'Journal Entries'!$K:$K,$C31,'Journal Entries'!$C:$C,"&lt;="&amp;T$8,'Journal Entries'!$C:$C,"&gt;"&amp;S$8)</f>
        <v>0</v>
      </c>
      <c r="U31" s="43">
        <f>SUMIFS('Journal Entries'!$L:$L,'Journal Entries'!$K:$K,$C31,'Journal Entries'!$C:$C,"&lt;="&amp;U$8,'Journal Entries'!$C:$C,"&gt;"&amp;T$8)</f>
        <v>0</v>
      </c>
      <c r="V31" s="43">
        <f>SUMIFS('Journal Entries'!$L:$L,'Journal Entries'!$K:$K,$C31,'Journal Entries'!$C:$C,"&lt;="&amp;V$8,'Journal Entries'!$C:$C,"&gt;"&amp;U$8)</f>
        <v>0</v>
      </c>
      <c r="W31" s="43">
        <f>SUMIFS('Journal Entries'!$L:$L,'Journal Entries'!$K:$K,$C31,'Journal Entries'!$C:$C,"&lt;="&amp;W$8,'Journal Entries'!$C:$C,"&gt;"&amp;V$8)</f>
        <v>0</v>
      </c>
      <c r="X31" s="43">
        <f>SUMIFS('Journal Entries'!$L:$L,'Journal Entries'!$K:$K,$C31,'Journal Entries'!$C:$C,"&lt;="&amp;X$8,'Journal Entries'!$C:$C,"&gt;"&amp;W$8)</f>
        <v>0</v>
      </c>
      <c r="Y31" s="43">
        <f>SUMIFS('Journal Entries'!$L:$L,'Journal Entries'!$K:$K,$C31,'Journal Entries'!$C:$C,"&lt;="&amp;Y$8,'Journal Entries'!$C:$C,"&gt;"&amp;X$8)</f>
        <v>0</v>
      </c>
      <c r="Z31" s="43">
        <f>SUMIFS('Journal Entries'!$L:$L,'Journal Entries'!$K:$K,$C31,'Journal Entries'!$C:$C,"&lt;="&amp;Z$8,'Journal Entries'!$C:$C,"&gt;"&amp;Y$8)</f>
        <v>0</v>
      </c>
      <c r="AA31" s="43">
        <f>SUMIFS('Journal Entries'!$L:$L,'Journal Entries'!$K:$K,$C31,'Journal Entries'!$C:$C,"&lt;="&amp;AA$8,'Journal Entries'!$C:$C,"&gt;"&amp;Z$8)</f>
        <v>0</v>
      </c>
      <c r="AB31" s="43">
        <f>SUMIFS('Journal Entries'!$L:$L,'Journal Entries'!$K:$K,$C31,'Journal Entries'!$C:$C,"&lt;="&amp;AB$8,'Journal Entries'!$C:$C,"&gt;"&amp;AA$8)</f>
        <v>0</v>
      </c>
      <c r="AC31" s="43">
        <f>SUMIFS('Journal Entries'!$L:$L,'Journal Entries'!$K:$K,$C31,'Journal Entries'!$C:$C,"&lt;="&amp;AC$8,'Journal Entries'!$C:$C,"&gt;"&amp;AB$8)</f>
        <v>0</v>
      </c>
      <c r="AD31" s="43">
        <f>SUMIFS('Journal Entries'!$L:$L,'Journal Entries'!$K:$K,$C31,'Journal Entries'!$C:$C,"&lt;="&amp;AD$8,'Journal Entries'!$C:$C,"&gt;"&amp;AC$8)</f>
        <v>0</v>
      </c>
      <c r="AE31" s="43">
        <f>SUMIFS('Journal Entries'!$L:$L,'Journal Entries'!$K:$K,$C31,'Journal Entries'!$C:$C,"&lt;="&amp;AE$8,'Journal Entries'!$C:$C,"&gt;"&amp;AD$8)</f>
        <v>0</v>
      </c>
      <c r="AF31" s="43">
        <f>SUMIFS('Journal Entries'!$L:$L,'Journal Entries'!$K:$K,$C31,'Journal Entries'!$C:$C,"&lt;="&amp;AF$8,'Journal Entries'!$C:$C,"&gt;"&amp;AE$8)</f>
        <v>0</v>
      </c>
      <c r="AG31" s="43">
        <f>SUMIFS('Journal Entries'!$L:$L,'Journal Entries'!$K:$K,$C31,'Journal Entries'!$C:$C,"&lt;="&amp;AG$8,'Journal Entries'!$C:$C,"&gt;"&amp;AF$8)</f>
        <v>0</v>
      </c>
      <c r="AH31" s="43">
        <f>SUMIFS('Journal Entries'!$L:$L,'Journal Entries'!$K:$K,$C31,'Journal Entries'!$C:$C,"&lt;="&amp;AH$8,'Journal Entries'!$C:$C,"&gt;"&amp;AG$8)</f>
        <v>0</v>
      </c>
      <c r="AI31" s="43">
        <f>SUMIFS('Journal Entries'!$L:$L,'Journal Entries'!$K:$K,$C31,'Journal Entries'!$C:$C,"&lt;="&amp;AI$8,'Journal Entries'!$C:$C,"&gt;"&amp;AH$8)</f>
        <v>0</v>
      </c>
      <c r="AJ31" s="43">
        <f>SUMIFS('Journal Entries'!$L:$L,'Journal Entries'!$K:$K,$C31,'Journal Entries'!$C:$C,"&lt;="&amp;AJ$8,'Journal Entries'!$C:$C,"&gt;"&amp;AI$8)</f>
        <v>0</v>
      </c>
      <c r="AK31" s="43">
        <f>SUMIFS('Journal Entries'!$L:$L,'Journal Entries'!$K:$K,$C31,'Journal Entries'!$C:$C,"&lt;="&amp;AK$8,'Journal Entries'!$C:$C,"&gt;"&amp;AJ$8)</f>
        <v>0</v>
      </c>
      <c r="AL31" s="43">
        <f>SUMIFS('Journal Entries'!$L:$L,'Journal Entries'!$K:$K,$C31,'Journal Entries'!$C:$C,"&lt;="&amp;AL$8,'Journal Entries'!$C:$C,"&gt;"&amp;AK$8)</f>
        <v>0</v>
      </c>
      <c r="AM31" s="43">
        <f>SUMIFS('Journal Entries'!$L:$L,'Journal Entries'!$K:$K,$C31,'Journal Entries'!$C:$C,"&lt;="&amp;AM$8,'Journal Entries'!$C:$C,"&gt;"&amp;AL$8)</f>
        <v>0</v>
      </c>
      <c r="AN31" s="43">
        <f>SUMIFS('Journal Entries'!$L:$L,'Journal Entries'!$K:$K,$C31,'Journal Entries'!$C:$C,"&lt;="&amp;AN$8,'Journal Entries'!$C:$C,"&gt;"&amp;AM$8)</f>
        <v>0</v>
      </c>
      <c r="AO31" s="43">
        <f>SUMIFS('Journal Entries'!$L:$L,'Journal Entries'!$K:$K,$C31,'Journal Entries'!$C:$C,"&lt;="&amp;AO$8,'Journal Entries'!$C:$C,"&gt;"&amp;AN$8)</f>
        <v>0</v>
      </c>
      <c r="AP31" s="43">
        <f>SUMIFS('Journal Entries'!$L:$L,'Journal Entries'!$K:$K,$C31,'Journal Entries'!$C:$C,"&lt;="&amp;AP$8,'Journal Entries'!$C:$C,"&gt;"&amp;AO$8)</f>
        <v>0</v>
      </c>
      <c r="AQ31" s="43">
        <f>SUMIFS('Journal Entries'!$L:$L,'Journal Entries'!$K:$K,$C31,'Journal Entries'!$C:$C,"&lt;="&amp;AQ$8,'Journal Entries'!$C:$C,"&gt;"&amp;AP$8)</f>
        <v>0</v>
      </c>
      <c r="AR31" s="43">
        <f>SUMIFS('Journal Entries'!$L:$L,'Journal Entries'!$K:$K,$C31,'Journal Entries'!$C:$C,"&lt;="&amp;AR$8,'Journal Entries'!$C:$C,"&gt;"&amp;AQ$8)</f>
        <v>0</v>
      </c>
      <c r="AS31" s="43">
        <f>SUMIFS('Journal Entries'!$L:$L,'Journal Entries'!$K:$K,$C31,'Journal Entries'!$C:$C,"&lt;="&amp;AS$8,'Journal Entries'!$C:$C,"&gt;"&amp;AR$8)</f>
        <v>0</v>
      </c>
      <c r="AT31" s="43">
        <f>SUMIFS('Journal Entries'!$L:$L,'Journal Entries'!$K:$K,$C31,'Journal Entries'!$C:$C,"&lt;="&amp;AT$8,'Journal Entries'!$C:$C,"&gt;"&amp;AS$8)</f>
        <v>0</v>
      </c>
      <c r="AU31" s="43">
        <f>SUMIFS('Journal Entries'!$L:$L,'Journal Entries'!$K:$K,$C31,'Journal Entries'!$C:$C,"&lt;="&amp;AU$8,'Journal Entries'!$C:$C,"&gt;"&amp;AT$8)</f>
        <v>0</v>
      </c>
      <c r="AV31" s="43">
        <f>SUMIFS('Journal Entries'!$L:$L,'Journal Entries'!$K:$K,$C31,'Journal Entries'!$C:$C,"&lt;="&amp;AV$8,'Journal Entries'!$C:$C,"&gt;"&amp;AU$8)</f>
        <v>0</v>
      </c>
      <c r="AW31" s="43">
        <f>SUMIFS('Journal Entries'!$L:$L,'Journal Entries'!$K:$K,$C31,'Journal Entries'!$C:$C,"&lt;="&amp;AW$8,'Journal Entries'!$C:$C,"&gt;"&amp;AV$8)</f>
        <v>0</v>
      </c>
      <c r="AX31" s="43">
        <f>SUMIFS('Journal Entries'!$L:$L,'Journal Entries'!$K:$K,$C31,'Journal Entries'!$C:$C,"&lt;="&amp;AX$8,'Journal Entries'!$C:$C,"&gt;"&amp;AW$8)</f>
        <v>0</v>
      </c>
      <c r="AY31" s="43">
        <f>SUMIFS('Journal Entries'!$L:$L,'Journal Entries'!$K:$K,$C31,'Journal Entries'!$C:$C,"&lt;="&amp;AY$8,'Journal Entries'!$C:$C,"&gt;"&amp;AX$8)</f>
        <v>0</v>
      </c>
      <c r="AZ31" s="43">
        <f>SUMIFS('Journal Entries'!$L:$L,'Journal Entries'!$K:$K,$C31,'Journal Entries'!$C:$C,"&lt;="&amp;AZ$8,'Journal Entries'!$C:$C,"&gt;"&amp;AY$8)</f>
        <v>0</v>
      </c>
      <c r="BA31" s="43">
        <f>SUMIFS('Journal Entries'!$L:$L,'Journal Entries'!$K:$K,$C31,'Journal Entries'!$C:$C,"&lt;="&amp;BA$8,'Journal Entries'!$C:$C,"&gt;"&amp;AZ$8)</f>
        <v>0</v>
      </c>
      <c r="BB31" s="43">
        <f>SUMIFS('Journal Entries'!$L:$L,'Journal Entries'!$K:$K,$C31,'Journal Entries'!$C:$C,"&lt;="&amp;BB$8,'Journal Entries'!$C:$C,"&gt;"&amp;BA$8)</f>
        <v>0</v>
      </c>
      <c r="BC31" s="43">
        <f>SUMIFS('Journal Entries'!$L:$L,'Journal Entries'!$K:$K,$C31,'Journal Entries'!$C:$C,"&lt;="&amp;BC$8,'Journal Entries'!$C:$C,"&gt;"&amp;BB$8)</f>
        <v>0</v>
      </c>
      <c r="BD31" s="43">
        <f>SUMIFS('Journal Entries'!$L:$L,'Journal Entries'!$K:$K,$C31,'Journal Entries'!$C:$C,"&lt;="&amp;BD$8,'Journal Entries'!$C:$C,"&gt;"&amp;BC$8)</f>
        <v>0</v>
      </c>
      <c r="BE31" s="43">
        <f>SUMIFS('Journal Entries'!$L:$L,'Journal Entries'!$K:$K,$C31,'Journal Entries'!$C:$C,"&lt;="&amp;BE$8,'Journal Entries'!$C:$C,"&gt;"&amp;BD$8)</f>
        <v>0</v>
      </c>
      <c r="BF31" s="43">
        <f>SUMIFS('Journal Entries'!$L:$L,'Journal Entries'!$K:$K,$C31,'Journal Entries'!$C:$C,"&lt;="&amp;BF$8,'Journal Entries'!$C:$C,"&gt;"&amp;BE$8)</f>
        <v>0</v>
      </c>
      <c r="BG31" s="43">
        <f>SUMIFS('Journal Entries'!$L:$L,'Journal Entries'!$K:$K,$C31,'Journal Entries'!$C:$C,"&lt;="&amp;BG$8,'Journal Entries'!$C:$C,"&gt;"&amp;BF$8)</f>
        <v>0</v>
      </c>
      <c r="BH31" s="43">
        <f>SUMIFS('Journal Entries'!$L:$L,'Journal Entries'!$K:$K,$C31,'Journal Entries'!$C:$C,"&lt;="&amp;BH$8,'Journal Entries'!$C:$C,"&gt;"&amp;BG$8)</f>
        <v>0</v>
      </c>
      <c r="BI31" s="43">
        <f>SUMIFS('Journal Entries'!$L:$L,'Journal Entries'!$K:$K,$C31,'Journal Entries'!$C:$C,"&lt;="&amp;BI$8,'Journal Entries'!$C:$C,"&gt;"&amp;BH$8)</f>
        <v>0</v>
      </c>
      <c r="BJ31" s="43">
        <f>SUMIFS('Journal Entries'!$L:$L,'Journal Entries'!$K:$K,$C31,'Journal Entries'!$C:$C,"&lt;="&amp;BJ$8,'Journal Entries'!$C:$C,"&gt;"&amp;BI$8)</f>
        <v>0</v>
      </c>
      <c r="BK31" s="43">
        <f>SUMIFS('Journal Entries'!$L:$L,'Journal Entries'!$K:$K,$C31,'Journal Entries'!$C:$C,"&lt;="&amp;BK$8,'Journal Entries'!$C:$C,"&gt;"&amp;BJ$8)</f>
        <v>0</v>
      </c>
      <c r="BL31" s="43">
        <f>SUMIFS('Journal Entries'!$L:$L,'Journal Entries'!$K:$K,$C31,'Journal Entries'!$C:$C,"&lt;="&amp;BL$8,'Journal Entries'!$C:$C,"&gt;"&amp;BK$8)</f>
        <v>0</v>
      </c>
    </row>
    <row r="32" spans="2:64" x14ac:dyDescent="0.25">
      <c r="B32" s="10">
        <v>2100</v>
      </c>
      <c r="C32" s="10" t="str">
        <f>VLOOKUP(B32,'Chart of Accounts'!$B$3:$C$95,2,0)</f>
        <v>Compliance fee payable</v>
      </c>
      <c r="D32" s="525">
        <f t="shared" si="2"/>
        <v>0</v>
      </c>
      <c r="E32" s="43">
        <f>SUMIFS('Journal Entries'!$L:$L,'Journal Entries'!$K:$K,$C32,'Journal Entries'!$C:$C,"&lt;="&amp;E$8,'Journal Entries'!$C:$C,"&gt;"&amp;D$8)</f>
        <v>0</v>
      </c>
      <c r="F32" s="43">
        <f>SUMIFS('Journal Entries'!$L:$L,'Journal Entries'!$K:$K,$C32,'Journal Entries'!$C:$C,"&lt;="&amp;F$8,'Journal Entries'!$C:$C,"&gt;"&amp;E$8)</f>
        <v>0</v>
      </c>
      <c r="G32" s="43">
        <f>SUMIFS('Journal Entries'!$L:$L,'Journal Entries'!$K:$K,$C32,'Journal Entries'!$C:$C,"&lt;="&amp;G$8,'Journal Entries'!$C:$C,"&gt;"&amp;F$8)</f>
        <v>0</v>
      </c>
      <c r="H32" s="43">
        <f>SUMIFS('Journal Entries'!$L:$L,'Journal Entries'!$K:$K,$C32,'Journal Entries'!$C:$C,"&lt;="&amp;H$8,'Journal Entries'!$C:$C,"&gt;"&amp;G$8)</f>
        <v>0</v>
      </c>
      <c r="I32" s="43">
        <f>SUMIFS('Journal Entries'!$L:$L,'Journal Entries'!$K:$K,$C32,'Journal Entries'!$C:$C,"&lt;="&amp;I$8,'Journal Entries'!$C:$C,"&gt;"&amp;H$8)</f>
        <v>0</v>
      </c>
      <c r="J32" s="43">
        <f>SUMIFS('Journal Entries'!$L:$L,'Journal Entries'!$K:$K,$C32,'Journal Entries'!$C:$C,"&lt;="&amp;J$8,'Journal Entries'!$C:$C,"&gt;"&amp;I$8)</f>
        <v>0</v>
      </c>
      <c r="K32" s="43">
        <f>SUMIFS('Journal Entries'!$L:$L,'Journal Entries'!$K:$K,$C32,'Journal Entries'!$C:$C,"&lt;="&amp;K$8,'Journal Entries'!$C:$C,"&gt;"&amp;J$8)</f>
        <v>0</v>
      </c>
      <c r="L32" s="43">
        <f>SUMIFS('Journal Entries'!$L:$L,'Journal Entries'!$K:$K,$C32,'Journal Entries'!$C:$C,"&lt;="&amp;L$8,'Journal Entries'!$C:$C,"&gt;"&amp;K$8)</f>
        <v>0</v>
      </c>
      <c r="M32" s="43">
        <f>SUMIFS('Journal Entries'!$L:$L,'Journal Entries'!$K:$K,$C32,'Journal Entries'!$C:$C,"&lt;="&amp;M$8,'Journal Entries'!$C:$C,"&gt;"&amp;L$8)</f>
        <v>0</v>
      </c>
      <c r="N32" s="43">
        <f>SUMIFS('Journal Entries'!$L:$L,'Journal Entries'!$K:$K,$C32,'Journal Entries'!$C:$C,"&lt;="&amp;N$8,'Journal Entries'!$C:$C,"&gt;"&amp;M$8)</f>
        <v>0</v>
      </c>
      <c r="O32" s="43">
        <f>SUMIFS('Journal Entries'!$L:$L,'Journal Entries'!$K:$K,$C32,'Journal Entries'!$C:$C,"&lt;="&amp;O$8,'Journal Entries'!$C:$C,"&gt;"&amp;N$8)</f>
        <v>0</v>
      </c>
      <c r="P32" s="43">
        <f>SUMIFS('Journal Entries'!$L:$L,'Journal Entries'!$K:$K,$C32,'Journal Entries'!$C:$C,"&lt;="&amp;P$8,'Journal Entries'!$C:$C,"&gt;"&amp;O$8)</f>
        <v>0</v>
      </c>
      <c r="Q32" s="43">
        <f>SUMIFS('Journal Entries'!$L:$L,'Journal Entries'!$K:$K,$C32,'Journal Entries'!$C:$C,"&lt;="&amp;Q$8,'Journal Entries'!$C:$C,"&gt;"&amp;P$8)</f>
        <v>0</v>
      </c>
      <c r="R32" s="43">
        <f>SUMIFS('Journal Entries'!$L:$L,'Journal Entries'!$K:$K,$C32,'Journal Entries'!$C:$C,"&lt;="&amp;R$8,'Journal Entries'!$C:$C,"&gt;"&amp;Q$8)</f>
        <v>0</v>
      </c>
      <c r="S32" s="43">
        <f>SUMIFS('Journal Entries'!$L:$L,'Journal Entries'!$K:$K,$C32,'Journal Entries'!$C:$C,"&lt;="&amp;S$8,'Journal Entries'!$C:$C,"&gt;"&amp;R$8)</f>
        <v>0</v>
      </c>
      <c r="T32" s="43">
        <f>SUMIFS('Journal Entries'!$L:$L,'Journal Entries'!$K:$K,$C32,'Journal Entries'!$C:$C,"&lt;="&amp;T$8,'Journal Entries'!$C:$C,"&gt;"&amp;S$8)</f>
        <v>0</v>
      </c>
      <c r="U32" s="43">
        <f>SUMIFS('Journal Entries'!$L:$L,'Journal Entries'!$K:$K,$C32,'Journal Entries'!$C:$C,"&lt;="&amp;U$8,'Journal Entries'!$C:$C,"&gt;"&amp;T$8)</f>
        <v>0</v>
      </c>
      <c r="V32" s="43">
        <f>SUMIFS('Journal Entries'!$L:$L,'Journal Entries'!$K:$K,$C32,'Journal Entries'!$C:$C,"&lt;="&amp;V$8,'Journal Entries'!$C:$C,"&gt;"&amp;U$8)</f>
        <v>0</v>
      </c>
      <c r="W32" s="43">
        <f>SUMIFS('Journal Entries'!$L:$L,'Journal Entries'!$K:$K,$C32,'Journal Entries'!$C:$C,"&lt;="&amp;W$8,'Journal Entries'!$C:$C,"&gt;"&amp;V$8)</f>
        <v>0</v>
      </c>
      <c r="X32" s="43">
        <f>SUMIFS('Journal Entries'!$L:$L,'Journal Entries'!$K:$K,$C32,'Journal Entries'!$C:$C,"&lt;="&amp;X$8,'Journal Entries'!$C:$C,"&gt;"&amp;W$8)</f>
        <v>0</v>
      </c>
      <c r="Y32" s="43">
        <f>SUMIFS('Journal Entries'!$L:$L,'Journal Entries'!$K:$K,$C32,'Journal Entries'!$C:$C,"&lt;="&amp;Y$8,'Journal Entries'!$C:$C,"&gt;"&amp;X$8)</f>
        <v>0</v>
      </c>
      <c r="Z32" s="43">
        <f>SUMIFS('Journal Entries'!$L:$L,'Journal Entries'!$K:$K,$C32,'Journal Entries'!$C:$C,"&lt;="&amp;Z$8,'Journal Entries'!$C:$C,"&gt;"&amp;Y$8)</f>
        <v>0</v>
      </c>
      <c r="AA32" s="43">
        <f>SUMIFS('Journal Entries'!$L:$L,'Journal Entries'!$K:$K,$C32,'Journal Entries'!$C:$C,"&lt;="&amp;AA$8,'Journal Entries'!$C:$C,"&gt;"&amp;Z$8)</f>
        <v>0</v>
      </c>
      <c r="AB32" s="43">
        <f>SUMIFS('Journal Entries'!$L:$L,'Journal Entries'!$K:$K,$C32,'Journal Entries'!$C:$C,"&lt;="&amp;AB$8,'Journal Entries'!$C:$C,"&gt;"&amp;AA$8)</f>
        <v>0</v>
      </c>
      <c r="AC32" s="43">
        <f>SUMIFS('Journal Entries'!$L:$L,'Journal Entries'!$K:$K,$C32,'Journal Entries'!$C:$C,"&lt;="&amp;AC$8,'Journal Entries'!$C:$C,"&gt;"&amp;AB$8)</f>
        <v>0</v>
      </c>
      <c r="AD32" s="43">
        <f>SUMIFS('Journal Entries'!$L:$L,'Journal Entries'!$K:$K,$C32,'Journal Entries'!$C:$C,"&lt;="&amp;AD$8,'Journal Entries'!$C:$C,"&gt;"&amp;AC$8)</f>
        <v>0</v>
      </c>
      <c r="AE32" s="43">
        <f>SUMIFS('Journal Entries'!$L:$L,'Journal Entries'!$K:$K,$C32,'Journal Entries'!$C:$C,"&lt;="&amp;AE$8,'Journal Entries'!$C:$C,"&gt;"&amp;AD$8)</f>
        <v>0</v>
      </c>
      <c r="AF32" s="43">
        <f>SUMIFS('Journal Entries'!$L:$L,'Journal Entries'!$K:$K,$C32,'Journal Entries'!$C:$C,"&lt;="&amp;AF$8,'Journal Entries'!$C:$C,"&gt;"&amp;AE$8)</f>
        <v>0</v>
      </c>
      <c r="AG32" s="43">
        <f>SUMIFS('Journal Entries'!$L:$L,'Journal Entries'!$K:$K,$C32,'Journal Entries'!$C:$C,"&lt;="&amp;AG$8,'Journal Entries'!$C:$C,"&gt;"&amp;AF$8)</f>
        <v>0</v>
      </c>
      <c r="AH32" s="43">
        <f>SUMIFS('Journal Entries'!$L:$L,'Journal Entries'!$K:$K,$C32,'Journal Entries'!$C:$C,"&lt;="&amp;AH$8,'Journal Entries'!$C:$C,"&gt;"&amp;AG$8)</f>
        <v>0</v>
      </c>
      <c r="AI32" s="43">
        <f>SUMIFS('Journal Entries'!$L:$L,'Journal Entries'!$K:$K,$C32,'Journal Entries'!$C:$C,"&lt;="&amp;AI$8,'Journal Entries'!$C:$C,"&gt;"&amp;AH$8)</f>
        <v>0</v>
      </c>
      <c r="AJ32" s="43">
        <f>SUMIFS('Journal Entries'!$L:$L,'Journal Entries'!$K:$K,$C32,'Journal Entries'!$C:$C,"&lt;="&amp;AJ$8,'Journal Entries'!$C:$C,"&gt;"&amp;AI$8)</f>
        <v>0</v>
      </c>
      <c r="AK32" s="43">
        <f>SUMIFS('Journal Entries'!$L:$L,'Journal Entries'!$K:$K,$C32,'Journal Entries'!$C:$C,"&lt;="&amp;AK$8,'Journal Entries'!$C:$C,"&gt;"&amp;AJ$8)</f>
        <v>0</v>
      </c>
      <c r="AL32" s="43">
        <f>SUMIFS('Journal Entries'!$L:$L,'Journal Entries'!$K:$K,$C32,'Journal Entries'!$C:$C,"&lt;="&amp;AL$8,'Journal Entries'!$C:$C,"&gt;"&amp;AK$8)</f>
        <v>0</v>
      </c>
      <c r="AM32" s="43">
        <f>SUMIFS('Journal Entries'!$L:$L,'Journal Entries'!$K:$K,$C32,'Journal Entries'!$C:$C,"&lt;="&amp;AM$8,'Journal Entries'!$C:$C,"&gt;"&amp;AL$8)</f>
        <v>0</v>
      </c>
      <c r="AN32" s="43">
        <f>SUMIFS('Journal Entries'!$L:$L,'Journal Entries'!$K:$K,$C32,'Journal Entries'!$C:$C,"&lt;="&amp;AN$8,'Journal Entries'!$C:$C,"&gt;"&amp;AM$8)</f>
        <v>0</v>
      </c>
      <c r="AO32" s="43">
        <f>SUMIFS('Journal Entries'!$L:$L,'Journal Entries'!$K:$K,$C32,'Journal Entries'!$C:$C,"&lt;="&amp;AO$8,'Journal Entries'!$C:$C,"&gt;"&amp;AN$8)</f>
        <v>0</v>
      </c>
      <c r="AP32" s="43">
        <f>SUMIFS('Journal Entries'!$L:$L,'Journal Entries'!$K:$K,$C32,'Journal Entries'!$C:$C,"&lt;="&amp;AP$8,'Journal Entries'!$C:$C,"&gt;"&amp;AO$8)</f>
        <v>0</v>
      </c>
      <c r="AQ32" s="43">
        <f>SUMIFS('Journal Entries'!$L:$L,'Journal Entries'!$K:$K,$C32,'Journal Entries'!$C:$C,"&lt;="&amp;AQ$8,'Journal Entries'!$C:$C,"&gt;"&amp;AP$8)</f>
        <v>0</v>
      </c>
      <c r="AR32" s="43">
        <f>SUMIFS('Journal Entries'!$L:$L,'Journal Entries'!$K:$K,$C32,'Journal Entries'!$C:$C,"&lt;="&amp;AR$8,'Journal Entries'!$C:$C,"&gt;"&amp;AQ$8)</f>
        <v>0</v>
      </c>
      <c r="AS32" s="43">
        <f>SUMIFS('Journal Entries'!$L:$L,'Journal Entries'!$K:$K,$C32,'Journal Entries'!$C:$C,"&lt;="&amp;AS$8,'Journal Entries'!$C:$C,"&gt;"&amp;AR$8)</f>
        <v>0</v>
      </c>
      <c r="AT32" s="43">
        <f>SUMIFS('Journal Entries'!$L:$L,'Journal Entries'!$K:$K,$C32,'Journal Entries'!$C:$C,"&lt;="&amp;AT$8,'Journal Entries'!$C:$C,"&gt;"&amp;AS$8)</f>
        <v>0</v>
      </c>
      <c r="AU32" s="43">
        <f>SUMIFS('Journal Entries'!$L:$L,'Journal Entries'!$K:$K,$C32,'Journal Entries'!$C:$C,"&lt;="&amp;AU$8,'Journal Entries'!$C:$C,"&gt;"&amp;AT$8)</f>
        <v>0</v>
      </c>
      <c r="AV32" s="43">
        <f>SUMIFS('Journal Entries'!$L:$L,'Journal Entries'!$K:$K,$C32,'Journal Entries'!$C:$C,"&lt;="&amp;AV$8,'Journal Entries'!$C:$C,"&gt;"&amp;AU$8)</f>
        <v>0</v>
      </c>
      <c r="AW32" s="43">
        <f>SUMIFS('Journal Entries'!$L:$L,'Journal Entries'!$K:$K,$C32,'Journal Entries'!$C:$C,"&lt;="&amp;AW$8,'Journal Entries'!$C:$C,"&gt;"&amp;AV$8)</f>
        <v>0</v>
      </c>
      <c r="AX32" s="43">
        <f>SUMIFS('Journal Entries'!$L:$L,'Journal Entries'!$K:$K,$C32,'Journal Entries'!$C:$C,"&lt;="&amp;AX$8,'Journal Entries'!$C:$C,"&gt;"&amp;AW$8)</f>
        <v>0</v>
      </c>
      <c r="AY32" s="43">
        <f>SUMIFS('Journal Entries'!$L:$L,'Journal Entries'!$K:$K,$C32,'Journal Entries'!$C:$C,"&lt;="&amp;AY$8,'Journal Entries'!$C:$C,"&gt;"&amp;AX$8)</f>
        <v>0</v>
      </c>
      <c r="AZ32" s="43">
        <f>SUMIFS('Journal Entries'!$L:$L,'Journal Entries'!$K:$K,$C32,'Journal Entries'!$C:$C,"&lt;="&amp;AZ$8,'Journal Entries'!$C:$C,"&gt;"&amp;AY$8)</f>
        <v>0</v>
      </c>
      <c r="BA32" s="43">
        <f>SUMIFS('Journal Entries'!$L:$L,'Journal Entries'!$K:$K,$C32,'Journal Entries'!$C:$C,"&lt;="&amp;BA$8,'Journal Entries'!$C:$C,"&gt;"&amp;AZ$8)</f>
        <v>0</v>
      </c>
      <c r="BB32" s="43">
        <f>SUMIFS('Journal Entries'!$L:$L,'Journal Entries'!$K:$K,$C32,'Journal Entries'!$C:$C,"&lt;="&amp;BB$8,'Journal Entries'!$C:$C,"&gt;"&amp;BA$8)</f>
        <v>0</v>
      </c>
      <c r="BC32" s="43">
        <f>SUMIFS('Journal Entries'!$L:$L,'Journal Entries'!$K:$K,$C32,'Journal Entries'!$C:$C,"&lt;="&amp;BC$8,'Journal Entries'!$C:$C,"&gt;"&amp;BB$8)</f>
        <v>0</v>
      </c>
      <c r="BD32" s="43">
        <f>SUMIFS('Journal Entries'!$L:$L,'Journal Entries'!$K:$K,$C32,'Journal Entries'!$C:$C,"&lt;="&amp;BD$8,'Journal Entries'!$C:$C,"&gt;"&amp;BC$8)</f>
        <v>0</v>
      </c>
      <c r="BE32" s="43">
        <f>SUMIFS('Journal Entries'!$L:$L,'Journal Entries'!$K:$K,$C32,'Journal Entries'!$C:$C,"&lt;="&amp;BE$8,'Journal Entries'!$C:$C,"&gt;"&amp;BD$8)</f>
        <v>0</v>
      </c>
      <c r="BF32" s="43">
        <f>SUMIFS('Journal Entries'!$L:$L,'Journal Entries'!$K:$K,$C32,'Journal Entries'!$C:$C,"&lt;="&amp;BF$8,'Journal Entries'!$C:$C,"&gt;"&amp;BE$8)</f>
        <v>0</v>
      </c>
      <c r="BG32" s="43">
        <f>SUMIFS('Journal Entries'!$L:$L,'Journal Entries'!$K:$K,$C32,'Journal Entries'!$C:$C,"&lt;="&amp;BG$8,'Journal Entries'!$C:$C,"&gt;"&amp;BF$8)</f>
        <v>0</v>
      </c>
      <c r="BH32" s="43">
        <f>SUMIFS('Journal Entries'!$L:$L,'Journal Entries'!$K:$K,$C32,'Journal Entries'!$C:$C,"&lt;="&amp;BH$8,'Journal Entries'!$C:$C,"&gt;"&amp;BG$8)</f>
        <v>0</v>
      </c>
      <c r="BI32" s="43">
        <f>SUMIFS('Journal Entries'!$L:$L,'Journal Entries'!$K:$K,$C32,'Journal Entries'!$C:$C,"&lt;="&amp;BI$8,'Journal Entries'!$C:$C,"&gt;"&amp;BH$8)</f>
        <v>0</v>
      </c>
      <c r="BJ32" s="43">
        <f>SUMIFS('Journal Entries'!$L:$L,'Journal Entries'!$K:$K,$C32,'Journal Entries'!$C:$C,"&lt;="&amp;BJ$8,'Journal Entries'!$C:$C,"&gt;"&amp;BI$8)</f>
        <v>0</v>
      </c>
      <c r="BK32" s="43">
        <f>SUMIFS('Journal Entries'!$L:$L,'Journal Entries'!$K:$K,$C32,'Journal Entries'!$C:$C,"&lt;="&amp;BK$8,'Journal Entries'!$C:$C,"&gt;"&amp;BJ$8)</f>
        <v>0</v>
      </c>
      <c r="BL32" s="43">
        <f>SUMIFS('Journal Entries'!$L:$L,'Journal Entries'!$K:$K,$C32,'Journal Entries'!$C:$C,"&lt;="&amp;BL$8,'Journal Entries'!$C:$C,"&gt;"&amp;BK$8)</f>
        <v>0</v>
      </c>
    </row>
    <row r="33" spans="2:64" x14ac:dyDescent="0.25">
      <c r="B33" s="10">
        <v>2110</v>
      </c>
      <c r="C33" s="10" t="str">
        <f>VLOOKUP(B33,'Chart of Accounts'!$B$3:$C$95,2,0)</f>
        <v>Insurance fee payable</v>
      </c>
      <c r="D33" s="525">
        <f t="shared" si="2"/>
        <v>0</v>
      </c>
      <c r="E33" s="43">
        <f>SUMIFS('Journal Entries'!$L:$L,'Journal Entries'!$K:$K,$C33,'Journal Entries'!$C:$C,"&lt;="&amp;E$8,'Journal Entries'!$C:$C,"&gt;"&amp;D$8)</f>
        <v>0</v>
      </c>
      <c r="F33" s="43">
        <f>SUMIFS('Journal Entries'!$L:$L,'Journal Entries'!$K:$K,$C33,'Journal Entries'!$C:$C,"&lt;="&amp;F$8,'Journal Entries'!$C:$C,"&gt;"&amp;E$8)</f>
        <v>0</v>
      </c>
      <c r="G33" s="43">
        <f>SUMIFS('Journal Entries'!$L:$L,'Journal Entries'!$K:$K,$C33,'Journal Entries'!$C:$C,"&lt;="&amp;G$8,'Journal Entries'!$C:$C,"&gt;"&amp;F$8)</f>
        <v>0</v>
      </c>
      <c r="H33" s="43">
        <f>SUMIFS('Journal Entries'!$L:$L,'Journal Entries'!$K:$K,$C33,'Journal Entries'!$C:$C,"&lt;="&amp;H$8,'Journal Entries'!$C:$C,"&gt;"&amp;G$8)</f>
        <v>0</v>
      </c>
      <c r="I33" s="43">
        <f>SUMIFS('Journal Entries'!$L:$L,'Journal Entries'!$K:$K,$C33,'Journal Entries'!$C:$C,"&lt;="&amp;I$8,'Journal Entries'!$C:$C,"&gt;"&amp;H$8)</f>
        <v>0</v>
      </c>
      <c r="J33" s="43">
        <f>SUMIFS('Journal Entries'!$L:$L,'Journal Entries'!$K:$K,$C33,'Journal Entries'!$C:$C,"&lt;="&amp;J$8,'Journal Entries'!$C:$C,"&gt;"&amp;I$8)</f>
        <v>0</v>
      </c>
      <c r="K33" s="43">
        <f>SUMIFS('Journal Entries'!$L:$L,'Journal Entries'!$K:$K,$C33,'Journal Entries'!$C:$C,"&lt;="&amp;K$8,'Journal Entries'!$C:$C,"&gt;"&amp;J$8)</f>
        <v>0</v>
      </c>
      <c r="L33" s="43">
        <f>SUMIFS('Journal Entries'!$L:$L,'Journal Entries'!$K:$K,$C33,'Journal Entries'!$C:$C,"&lt;="&amp;L$8,'Journal Entries'!$C:$C,"&gt;"&amp;K$8)</f>
        <v>0</v>
      </c>
      <c r="M33" s="43">
        <f>SUMIFS('Journal Entries'!$L:$L,'Journal Entries'!$K:$K,$C33,'Journal Entries'!$C:$C,"&lt;="&amp;M$8,'Journal Entries'!$C:$C,"&gt;"&amp;L$8)</f>
        <v>0</v>
      </c>
      <c r="N33" s="43">
        <f>SUMIFS('Journal Entries'!$L:$L,'Journal Entries'!$K:$K,$C33,'Journal Entries'!$C:$C,"&lt;="&amp;N$8,'Journal Entries'!$C:$C,"&gt;"&amp;M$8)</f>
        <v>0</v>
      </c>
      <c r="O33" s="43">
        <f>SUMIFS('Journal Entries'!$L:$L,'Journal Entries'!$K:$K,$C33,'Journal Entries'!$C:$C,"&lt;="&amp;O$8,'Journal Entries'!$C:$C,"&gt;"&amp;N$8)</f>
        <v>0</v>
      </c>
      <c r="P33" s="43">
        <f>SUMIFS('Journal Entries'!$L:$L,'Journal Entries'!$K:$K,$C33,'Journal Entries'!$C:$C,"&lt;="&amp;P$8,'Journal Entries'!$C:$C,"&gt;"&amp;O$8)</f>
        <v>0</v>
      </c>
      <c r="Q33" s="43">
        <f>SUMIFS('Journal Entries'!$L:$L,'Journal Entries'!$K:$K,$C33,'Journal Entries'!$C:$C,"&lt;="&amp;Q$8,'Journal Entries'!$C:$C,"&gt;"&amp;P$8)</f>
        <v>0</v>
      </c>
      <c r="R33" s="43">
        <f>SUMIFS('Journal Entries'!$L:$L,'Journal Entries'!$K:$K,$C33,'Journal Entries'!$C:$C,"&lt;="&amp;R$8,'Journal Entries'!$C:$C,"&gt;"&amp;Q$8)</f>
        <v>0</v>
      </c>
      <c r="S33" s="43">
        <f>SUMIFS('Journal Entries'!$L:$L,'Journal Entries'!$K:$K,$C33,'Journal Entries'!$C:$C,"&lt;="&amp;S$8,'Journal Entries'!$C:$C,"&gt;"&amp;R$8)</f>
        <v>0</v>
      </c>
      <c r="T33" s="43">
        <f>SUMIFS('Journal Entries'!$L:$L,'Journal Entries'!$K:$K,$C33,'Journal Entries'!$C:$C,"&lt;="&amp;T$8,'Journal Entries'!$C:$C,"&gt;"&amp;S$8)</f>
        <v>0</v>
      </c>
      <c r="U33" s="43">
        <f>SUMIFS('Journal Entries'!$L:$L,'Journal Entries'!$K:$K,$C33,'Journal Entries'!$C:$C,"&lt;="&amp;U$8,'Journal Entries'!$C:$C,"&gt;"&amp;T$8)</f>
        <v>0</v>
      </c>
      <c r="V33" s="43">
        <f>SUMIFS('Journal Entries'!$L:$L,'Journal Entries'!$K:$K,$C33,'Journal Entries'!$C:$C,"&lt;="&amp;V$8,'Journal Entries'!$C:$C,"&gt;"&amp;U$8)</f>
        <v>0</v>
      </c>
      <c r="W33" s="43">
        <f>SUMIFS('Journal Entries'!$L:$L,'Journal Entries'!$K:$K,$C33,'Journal Entries'!$C:$C,"&lt;="&amp;W$8,'Journal Entries'!$C:$C,"&gt;"&amp;V$8)</f>
        <v>0</v>
      </c>
      <c r="X33" s="43">
        <f>SUMIFS('Journal Entries'!$L:$L,'Journal Entries'!$K:$K,$C33,'Journal Entries'!$C:$C,"&lt;="&amp;X$8,'Journal Entries'!$C:$C,"&gt;"&amp;W$8)</f>
        <v>0</v>
      </c>
      <c r="Y33" s="43">
        <f>SUMIFS('Journal Entries'!$L:$L,'Journal Entries'!$K:$K,$C33,'Journal Entries'!$C:$C,"&lt;="&amp;Y$8,'Journal Entries'!$C:$C,"&gt;"&amp;X$8)</f>
        <v>0</v>
      </c>
      <c r="Z33" s="43">
        <f>SUMIFS('Journal Entries'!$L:$L,'Journal Entries'!$K:$K,$C33,'Journal Entries'!$C:$C,"&lt;="&amp;Z$8,'Journal Entries'!$C:$C,"&gt;"&amp;Y$8)</f>
        <v>0</v>
      </c>
      <c r="AA33" s="43">
        <f>SUMIFS('Journal Entries'!$L:$L,'Journal Entries'!$K:$K,$C33,'Journal Entries'!$C:$C,"&lt;="&amp;AA$8,'Journal Entries'!$C:$C,"&gt;"&amp;Z$8)</f>
        <v>0</v>
      </c>
      <c r="AB33" s="43">
        <f>SUMIFS('Journal Entries'!$L:$L,'Journal Entries'!$K:$K,$C33,'Journal Entries'!$C:$C,"&lt;="&amp;AB$8,'Journal Entries'!$C:$C,"&gt;"&amp;AA$8)</f>
        <v>0</v>
      </c>
      <c r="AC33" s="43">
        <f>SUMIFS('Journal Entries'!$L:$L,'Journal Entries'!$K:$K,$C33,'Journal Entries'!$C:$C,"&lt;="&amp;AC$8,'Journal Entries'!$C:$C,"&gt;"&amp;AB$8)</f>
        <v>0</v>
      </c>
      <c r="AD33" s="43">
        <f>SUMIFS('Journal Entries'!$L:$L,'Journal Entries'!$K:$K,$C33,'Journal Entries'!$C:$C,"&lt;="&amp;AD$8,'Journal Entries'!$C:$C,"&gt;"&amp;AC$8)</f>
        <v>0</v>
      </c>
      <c r="AE33" s="43">
        <f>SUMIFS('Journal Entries'!$L:$L,'Journal Entries'!$K:$K,$C33,'Journal Entries'!$C:$C,"&lt;="&amp;AE$8,'Journal Entries'!$C:$C,"&gt;"&amp;AD$8)</f>
        <v>0</v>
      </c>
      <c r="AF33" s="43">
        <f>SUMIFS('Journal Entries'!$L:$L,'Journal Entries'!$K:$K,$C33,'Journal Entries'!$C:$C,"&lt;="&amp;AF$8,'Journal Entries'!$C:$C,"&gt;"&amp;AE$8)</f>
        <v>0</v>
      </c>
      <c r="AG33" s="43">
        <f>SUMIFS('Journal Entries'!$L:$L,'Journal Entries'!$K:$K,$C33,'Journal Entries'!$C:$C,"&lt;="&amp;AG$8,'Journal Entries'!$C:$C,"&gt;"&amp;AF$8)</f>
        <v>0</v>
      </c>
      <c r="AH33" s="43">
        <f>SUMIFS('Journal Entries'!$L:$L,'Journal Entries'!$K:$K,$C33,'Journal Entries'!$C:$C,"&lt;="&amp;AH$8,'Journal Entries'!$C:$C,"&gt;"&amp;AG$8)</f>
        <v>0</v>
      </c>
      <c r="AI33" s="43">
        <f>SUMIFS('Journal Entries'!$L:$L,'Journal Entries'!$K:$K,$C33,'Journal Entries'!$C:$C,"&lt;="&amp;AI$8,'Journal Entries'!$C:$C,"&gt;"&amp;AH$8)</f>
        <v>0</v>
      </c>
      <c r="AJ33" s="43">
        <f>SUMIFS('Journal Entries'!$L:$L,'Journal Entries'!$K:$K,$C33,'Journal Entries'!$C:$C,"&lt;="&amp;AJ$8,'Journal Entries'!$C:$C,"&gt;"&amp;AI$8)</f>
        <v>0</v>
      </c>
      <c r="AK33" s="43">
        <f>SUMIFS('Journal Entries'!$L:$L,'Journal Entries'!$K:$K,$C33,'Journal Entries'!$C:$C,"&lt;="&amp;AK$8,'Journal Entries'!$C:$C,"&gt;"&amp;AJ$8)</f>
        <v>0</v>
      </c>
      <c r="AL33" s="43">
        <f>SUMIFS('Journal Entries'!$L:$L,'Journal Entries'!$K:$K,$C33,'Journal Entries'!$C:$C,"&lt;="&amp;AL$8,'Journal Entries'!$C:$C,"&gt;"&amp;AK$8)</f>
        <v>0</v>
      </c>
      <c r="AM33" s="43">
        <f>SUMIFS('Journal Entries'!$L:$L,'Journal Entries'!$K:$K,$C33,'Journal Entries'!$C:$C,"&lt;="&amp;AM$8,'Journal Entries'!$C:$C,"&gt;"&amp;AL$8)</f>
        <v>0</v>
      </c>
      <c r="AN33" s="43">
        <f>SUMIFS('Journal Entries'!$L:$L,'Journal Entries'!$K:$K,$C33,'Journal Entries'!$C:$C,"&lt;="&amp;AN$8,'Journal Entries'!$C:$C,"&gt;"&amp;AM$8)</f>
        <v>0</v>
      </c>
      <c r="AO33" s="43">
        <f>SUMIFS('Journal Entries'!$L:$L,'Journal Entries'!$K:$K,$C33,'Journal Entries'!$C:$C,"&lt;="&amp;AO$8,'Journal Entries'!$C:$C,"&gt;"&amp;AN$8)</f>
        <v>0</v>
      </c>
      <c r="AP33" s="43">
        <f>SUMIFS('Journal Entries'!$L:$L,'Journal Entries'!$K:$K,$C33,'Journal Entries'!$C:$C,"&lt;="&amp;AP$8,'Journal Entries'!$C:$C,"&gt;"&amp;AO$8)</f>
        <v>0</v>
      </c>
      <c r="AQ33" s="43">
        <f>SUMIFS('Journal Entries'!$L:$L,'Journal Entries'!$K:$K,$C33,'Journal Entries'!$C:$C,"&lt;="&amp;AQ$8,'Journal Entries'!$C:$C,"&gt;"&amp;AP$8)</f>
        <v>0</v>
      </c>
      <c r="AR33" s="43">
        <f>SUMIFS('Journal Entries'!$L:$L,'Journal Entries'!$K:$K,$C33,'Journal Entries'!$C:$C,"&lt;="&amp;AR$8,'Journal Entries'!$C:$C,"&gt;"&amp;AQ$8)</f>
        <v>0</v>
      </c>
      <c r="AS33" s="43">
        <f>SUMIFS('Journal Entries'!$L:$L,'Journal Entries'!$K:$K,$C33,'Journal Entries'!$C:$C,"&lt;="&amp;AS$8,'Journal Entries'!$C:$C,"&gt;"&amp;AR$8)</f>
        <v>0</v>
      </c>
      <c r="AT33" s="43">
        <f>SUMIFS('Journal Entries'!$L:$L,'Journal Entries'!$K:$K,$C33,'Journal Entries'!$C:$C,"&lt;="&amp;AT$8,'Journal Entries'!$C:$C,"&gt;"&amp;AS$8)</f>
        <v>0</v>
      </c>
      <c r="AU33" s="43">
        <f>SUMIFS('Journal Entries'!$L:$L,'Journal Entries'!$K:$K,$C33,'Journal Entries'!$C:$C,"&lt;="&amp;AU$8,'Journal Entries'!$C:$C,"&gt;"&amp;AT$8)</f>
        <v>0</v>
      </c>
      <c r="AV33" s="43">
        <f>SUMIFS('Journal Entries'!$L:$L,'Journal Entries'!$K:$K,$C33,'Journal Entries'!$C:$C,"&lt;="&amp;AV$8,'Journal Entries'!$C:$C,"&gt;"&amp;AU$8)</f>
        <v>0</v>
      </c>
      <c r="AW33" s="43">
        <f>SUMIFS('Journal Entries'!$L:$L,'Journal Entries'!$K:$K,$C33,'Journal Entries'!$C:$C,"&lt;="&amp;AW$8,'Journal Entries'!$C:$C,"&gt;"&amp;AV$8)</f>
        <v>0</v>
      </c>
      <c r="AX33" s="43">
        <f>SUMIFS('Journal Entries'!$L:$L,'Journal Entries'!$K:$K,$C33,'Journal Entries'!$C:$C,"&lt;="&amp;AX$8,'Journal Entries'!$C:$C,"&gt;"&amp;AW$8)</f>
        <v>0</v>
      </c>
      <c r="AY33" s="43">
        <f>SUMIFS('Journal Entries'!$L:$L,'Journal Entries'!$K:$K,$C33,'Journal Entries'!$C:$C,"&lt;="&amp;AY$8,'Journal Entries'!$C:$C,"&gt;"&amp;AX$8)</f>
        <v>0</v>
      </c>
      <c r="AZ33" s="43">
        <f>SUMIFS('Journal Entries'!$L:$L,'Journal Entries'!$K:$K,$C33,'Journal Entries'!$C:$C,"&lt;="&amp;AZ$8,'Journal Entries'!$C:$C,"&gt;"&amp;AY$8)</f>
        <v>0</v>
      </c>
      <c r="BA33" s="43">
        <f>SUMIFS('Journal Entries'!$L:$L,'Journal Entries'!$K:$K,$C33,'Journal Entries'!$C:$C,"&lt;="&amp;BA$8,'Journal Entries'!$C:$C,"&gt;"&amp;AZ$8)</f>
        <v>0</v>
      </c>
      <c r="BB33" s="43">
        <f>SUMIFS('Journal Entries'!$L:$L,'Journal Entries'!$K:$K,$C33,'Journal Entries'!$C:$C,"&lt;="&amp;BB$8,'Journal Entries'!$C:$C,"&gt;"&amp;BA$8)</f>
        <v>0</v>
      </c>
      <c r="BC33" s="43">
        <f>SUMIFS('Journal Entries'!$L:$L,'Journal Entries'!$K:$K,$C33,'Journal Entries'!$C:$C,"&lt;="&amp;BC$8,'Journal Entries'!$C:$C,"&gt;"&amp;BB$8)</f>
        <v>0</v>
      </c>
      <c r="BD33" s="43">
        <f>SUMIFS('Journal Entries'!$L:$L,'Journal Entries'!$K:$K,$C33,'Journal Entries'!$C:$C,"&lt;="&amp;BD$8,'Journal Entries'!$C:$C,"&gt;"&amp;BC$8)</f>
        <v>0</v>
      </c>
      <c r="BE33" s="43">
        <f>SUMIFS('Journal Entries'!$L:$L,'Journal Entries'!$K:$K,$C33,'Journal Entries'!$C:$C,"&lt;="&amp;BE$8,'Journal Entries'!$C:$C,"&gt;"&amp;BD$8)</f>
        <v>0</v>
      </c>
      <c r="BF33" s="43">
        <f>SUMIFS('Journal Entries'!$L:$L,'Journal Entries'!$K:$K,$C33,'Journal Entries'!$C:$C,"&lt;="&amp;BF$8,'Journal Entries'!$C:$C,"&gt;"&amp;BE$8)</f>
        <v>0</v>
      </c>
      <c r="BG33" s="43">
        <f>SUMIFS('Journal Entries'!$L:$L,'Journal Entries'!$K:$K,$C33,'Journal Entries'!$C:$C,"&lt;="&amp;BG$8,'Journal Entries'!$C:$C,"&gt;"&amp;BF$8)</f>
        <v>0</v>
      </c>
      <c r="BH33" s="43">
        <f>SUMIFS('Journal Entries'!$L:$L,'Journal Entries'!$K:$K,$C33,'Journal Entries'!$C:$C,"&lt;="&amp;BH$8,'Journal Entries'!$C:$C,"&gt;"&amp;BG$8)</f>
        <v>0</v>
      </c>
      <c r="BI33" s="43">
        <f>SUMIFS('Journal Entries'!$L:$L,'Journal Entries'!$K:$K,$C33,'Journal Entries'!$C:$C,"&lt;="&amp;BI$8,'Journal Entries'!$C:$C,"&gt;"&amp;BH$8)</f>
        <v>0</v>
      </c>
      <c r="BJ33" s="43">
        <f>SUMIFS('Journal Entries'!$L:$L,'Journal Entries'!$K:$K,$C33,'Journal Entries'!$C:$C,"&lt;="&amp;BJ$8,'Journal Entries'!$C:$C,"&gt;"&amp;BI$8)</f>
        <v>0</v>
      </c>
      <c r="BK33" s="43">
        <f>SUMIFS('Journal Entries'!$L:$L,'Journal Entries'!$K:$K,$C33,'Journal Entries'!$C:$C,"&lt;="&amp;BK$8,'Journal Entries'!$C:$C,"&gt;"&amp;BJ$8)</f>
        <v>0</v>
      </c>
      <c r="BL33" s="43">
        <f>SUMIFS('Journal Entries'!$L:$L,'Journal Entries'!$K:$K,$C33,'Journal Entries'!$C:$C,"&lt;="&amp;BL$8,'Journal Entries'!$C:$C,"&gt;"&amp;BK$8)</f>
        <v>0</v>
      </c>
    </row>
    <row r="34" spans="2:64" x14ac:dyDescent="0.25">
      <c r="B34" s="10">
        <v>2120</v>
      </c>
      <c r="C34" s="10" t="str">
        <f>VLOOKUP(B34,'Chart of Accounts'!$B$3:$C$95,2,0)</f>
        <v>Data market fee payable</v>
      </c>
      <c r="D34" s="525">
        <f t="shared" si="2"/>
        <v>0</v>
      </c>
      <c r="E34" s="43">
        <f>SUMIFS('Journal Entries'!$L:$L,'Journal Entries'!$K:$K,$C34,'Journal Entries'!$C:$C,"&lt;="&amp;E$8,'Journal Entries'!$C:$C,"&gt;"&amp;D$8)</f>
        <v>0</v>
      </c>
      <c r="F34" s="43">
        <f>SUMIFS('Journal Entries'!$L:$L,'Journal Entries'!$K:$K,$C34,'Journal Entries'!$C:$C,"&lt;="&amp;F$8,'Journal Entries'!$C:$C,"&gt;"&amp;E$8)</f>
        <v>0</v>
      </c>
      <c r="G34" s="43">
        <f>SUMIFS('Journal Entries'!$L:$L,'Journal Entries'!$K:$K,$C34,'Journal Entries'!$C:$C,"&lt;="&amp;G$8,'Journal Entries'!$C:$C,"&gt;"&amp;F$8)</f>
        <v>0</v>
      </c>
      <c r="H34" s="43">
        <f>SUMIFS('Journal Entries'!$L:$L,'Journal Entries'!$K:$K,$C34,'Journal Entries'!$C:$C,"&lt;="&amp;H$8,'Journal Entries'!$C:$C,"&gt;"&amp;G$8)</f>
        <v>0</v>
      </c>
      <c r="I34" s="43">
        <f>SUMIFS('Journal Entries'!$L:$L,'Journal Entries'!$K:$K,$C34,'Journal Entries'!$C:$C,"&lt;="&amp;I$8,'Journal Entries'!$C:$C,"&gt;"&amp;H$8)</f>
        <v>0</v>
      </c>
      <c r="J34" s="43">
        <f>SUMIFS('Journal Entries'!$L:$L,'Journal Entries'!$K:$K,$C34,'Journal Entries'!$C:$C,"&lt;="&amp;J$8,'Journal Entries'!$C:$C,"&gt;"&amp;I$8)</f>
        <v>0</v>
      </c>
      <c r="K34" s="43">
        <f>SUMIFS('Journal Entries'!$L:$L,'Journal Entries'!$K:$K,$C34,'Journal Entries'!$C:$C,"&lt;="&amp;K$8,'Journal Entries'!$C:$C,"&gt;"&amp;J$8)</f>
        <v>0</v>
      </c>
      <c r="L34" s="43">
        <f>SUMIFS('Journal Entries'!$L:$L,'Journal Entries'!$K:$K,$C34,'Journal Entries'!$C:$C,"&lt;="&amp;L$8,'Journal Entries'!$C:$C,"&gt;"&amp;K$8)</f>
        <v>0</v>
      </c>
      <c r="M34" s="43">
        <f>SUMIFS('Journal Entries'!$L:$L,'Journal Entries'!$K:$K,$C34,'Journal Entries'!$C:$C,"&lt;="&amp;M$8,'Journal Entries'!$C:$C,"&gt;"&amp;L$8)</f>
        <v>0</v>
      </c>
      <c r="N34" s="43">
        <f>SUMIFS('Journal Entries'!$L:$L,'Journal Entries'!$K:$K,$C34,'Journal Entries'!$C:$C,"&lt;="&amp;N$8,'Journal Entries'!$C:$C,"&gt;"&amp;M$8)</f>
        <v>0</v>
      </c>
      <c r="O34" s="43">
        <f>SUMIFS('Journal Entries'!$L:$L,'Journal Entries'!$K:$K,$C34,'Journal Entries'!$C:$C,"&lt;="&amp;O$8,'Journal Entries'!$C:$C,"&gt;"&amp;N$8)</f>
        <v>0</v>
      </c>
      <c r="P34" s="43">
        <f>SUMIFS('Journal Entries'!$L:$L,'Journal Entries'!$K:$K,$C34,'Journal Entries'!$C:$C,"&lt;="&amp;P$8,'Journal Entries'!$C:$C,"&gt;"&amp;O$8)</f>
        <v>0</v>
      </c>
      <c r="Q34" s="43">
        <f>SUMIFS('Journal Entries'!$L:$L,'Journal Entries'!$K:$K,$C34,'Journal Entries'!$C:$C,"&lt;="&amp;Q$8,'Journal Entries'!$C:$C,"&gt;"&amp;P$8)</f>
        <v>0</v>
      </c>
      <c r="R34" s="43">
        <f>SUMIFS('Journal Entries'!$L:$L,'Journal Entries'!$K:$K,$C34,'Journal Entries'!$C:$C,"&lt;="&amp;R$8,'Journal Entries'!$C:$C,"&gt;"&amp;Q$8)</f>
        <v>0</v>
      </c>
      <c r="S34" s="43">
        <f>SUMIFS('Journal Entries'!$L:$L,'Journal Entries'!$K:$K,$C34,'Journal Entries'!$C:$C,"&lt;="&amp;S$8,'Journal Entries'!$C:$C,"&gt;"&amp;R$8)</f>
        <v>0</v>
      </c>
      <c r="T34" s="43">
        <f>SUMIFS('Journal Entries'!$L:$L,'Journal Entries'!$K:$K,$C34,'Journal Entries'!$C:$C,"&lt;="&amp;T$8,'Journal Entries'!$C:$C,"&gt;"&amp;S$8)</f>
        <v>0</v>
      </c>
      <c r="U34" s="43">
        <f>SUMIFS('Journal Entries'!$L:$L,'Journal Entries'!$K:$K,$C34,'Journal Entries'!$C:$C,"&lt;="&amp;U$8,'Journal Entries'!$C:$C,"&gt;"&amp;T$8)</f>
        <v>0</v>
      </c>
      <c r="V34" s="43">
        <f>SUMIFS('Journal Entries'!$L:$L,'Journal Entries'!$K:$K,$C34,'Journal Entries'!$C:$C,"&lt;="&amp;V$8,'Journal Entries'!$C:$C,"&gt;"&amp;U$8)</f>
        <v>0</v>
      </c>
      <c r="W34" s="43">
        <f>SUMIFS('Journal Entries'!$L:$L,'Journal Entries'!$K:$K,$C34,'Journal Entries'!$C:$C,"&lt;="&amp;W$8,'Journal Entries'!$C:$C,"&gt;"&amp;V$8)</f>
        <v>0</v>
      </c>
      <c r="X34" s="43">
        <f>SUMIFS('Journal Entries'!$L:$L,'Journal Entries'!$K:$K,$C34,'Journal Entries'!$C:$C,"&lt;="&amp;X$8,'Journal Entries'!$C:$C,"&gt;"&amp;W$8)</f>
        <v>0</v>
      </c>
      <c r="Y34" s="43">
        <f>SUMIFS('Journal Entries'!$L:$L,'Journal Entries'!$K:$K,$C34,'Journal Entries'!$C:$C,"&lt;="&amp;Y$8,'Journal Entries'!$C:$C,"&gt;"&amp;X$8)</f>
        <v>0</v>
      </c>
      <c r="Z34" s="43">
        <f>SUMIFS('Journal Entries'!$L:$L,'Journal Entries'!$K:$K,$C34,'Journal Entries'!$C:$C,"&lt;="&amp;Z$8,'Journal Entries'!$C:$C,"&gt;"&amp;Y$8)</f>
        <v>0</v>
      </c>
      <c r="AA34" s="43">
        <f>SUMIFS('Journal Entries'!$L:$L,'Journal Entries'!$K:$K,$C34,'Journal Entries'!$C:$C,"&lt;="&amp;AA$8,'Journal Entries'!$C:$C,"&gt;"&amp;Z$8)</f>
        <v>0</v>
      </c>
      <c r="AB34" s="43">
        <f>SUMIFS('Journal Entries'!$L:$L,'Journal Entries'!$K:$K,$C34,'Journal Entries'!$C:$C,"&lt;="&amp;AB$8,'Journal Entries'!$C:$C,"&gt;"&amp;AA$8)</f>
        <v>0</v>
      </c>
      <c r="AC34" s="43">
        <f>SUMIFS('Journal Entries'!$L:$L,'Journal Entries'!$K:$K,$C34,'Journal Entries'!$C:$C,"&lt;="&amp;AC$8,'Journal Entries'!$C:$C,"&gt;"&amp;AB$8)</f>
        <v>0</v>
      </c>
      <c r="AD34" s="43">
        <f>SUMIFS('Journal Entries'!$L:$L,'Journal Entries'!$K:$K,$C34,'Journal Entries'!$C:$C,"&lt;="&amp;AD$8,'Journal Entries'!$C:$C,"&gt;"&amp;AC$8)</f>
        <v>0</v>
      </c>
      <c r="AE34" s="43">
        <f>SUMIFS('Journal Entries'!$L:$L,'Journal Entries'!$K:$K,$C34,'Journal Entries'!$C:$C,"&lt;="&amp;AE$8,'Journal Entries'!$C:$C,"&gt;"&amp;AD$8)</f>
        <v>0</v>
      </c>
      <c r="AF34" s="43">
        <f>SUMIFS('Journal Entries'!$L:$L,'Journal Entries'!$K:$K,$C34,'Journal Entries'!$C:$C,"&lt;="&amp;AF$8,'Journal Entries'!$C:$C,"&gt;"&amp;AE$8)</f>
        <v>0</v>
      </c>
      <c r="AG34" s="43">
        <f>SUMIFS('Journal Entries'!$L:$L,'Journal Entries'!$K:$K,$C34,'Journal Entries'!$C:$C,"&lt;="&amp;AG$8,'Journal Entries'!$C:$C,"&gt;"&amp;AF$8)</f>
        <v>0</v>
      </c>
      <c r="AH34" s="43">
        <f>SUMIFS('Journal Entries'!$L:$L,'Journal Entries'!$K:$K,$C34,'Journal Entries'!$C:$C,"&lt;="&amp;AH$8,'Journal Entries'!$C:$C,"&gt;"&amp;AG$8)</f>
        <v>0</v>
      </c>
      <c r="AI34" s="43">
        <f>SUMIFS('Journal Entries'!$L:$L,'Journal Entries'!$K:$K,$C34,'Journal Entries'!$C:$C,"&lt;="&amp;AI$8,'Journal Entries'!$C:$C,"&gt;"&amp;AH$8)</f>
        <v>0</v>
      </c>
      <c r="AJ34" s="43">
        <f>SUMIFS('Journal Entries'!$L:$L,'Journal Entries'!$K:$K,$C34,'Journal Entries'!$C:$C,"&lt;="&amp;AJ$8,'Journal Entries'!$C:$C,"&gt;"&amp;AI$8)</f>
        <v>0</v>
      </c>
      <c r="AK34" s="43">
        <f>SUMIFS('Journal Entries'!$L:$L,'Journal Entries'!$K:$K,$C34,'Journal Entries'!$C:$C,"&lt;="&amp;AK$8,'Journal Entries'!$C:$C,"&gt;"&amp;AJ$8)</f>
        <v>0</v>
      </c>
      <c r="AL34" s="43">
        <f>SUMIFS('Journal Entries'!$L:$L,'Journal Entries'!$K:$K,$C34,'Journal Entries'!$C:$C,"&lt;="&amp;AL$8,'Journal Entries'!$C:$C,"&gt;"&amp;AK$8)</f>
        <v>0</v>
      </c>
      <c r="AM34" s="43">
        <f>SUMIFS('Journal Entries'!$L:$L,'Journal Entries'!$K:$K,$C34,'Journal Entries'!$C:$C,"&lt;="&amp;AM$8,'Journal Entries'!$C:$C,"&gt;"&amp;AL$8)</f>
        <v>0</v>
      </c>
      <c r="AN34" s="43">
        <f>SUMIFS('Journal Entries'!$L:$L,'Journal Entries'!$K:$K,$C34,'Journal Entries'!$C:$C,"&lt;="&amp;AN$8,'Journal Entries'!$C:$C,"&gt;"&amp;AM$8)</f>
        <v>0</v>
      </c>
      <c r="AO34" s="43">
        <f>SUMIFS('Journal Entries'!$L:$L,'Journal Entries'!$K:$K,$C34,'Journal Entries'!$C:$C,"&lt;="&amp;AO$8,'Journal Entries'!$C:$C,"&gt;"&amp;AN$8)</f>
        <v>0</v>
      </c>
      <c r="AP34" s="43">
        <f>SUMIFS('Journal Entries'!$L:$L,'Journal Entries'!$K:$K,$C34,'Journal Entries'!$C:$C,"&lt;="&amp;AP$8,'Journal Entries'!$C:$C,"&gt;"&amp;AO$8)</f>
        <v>0</v>
      </c>
      <c r="AQ34" s="43">
        <f>SUMIFS('Journal Entries'!$L:$L,'Journal Entries'!$K:$K,$C34,'Journal Entries'!$C:$C,"&lt;="&amp;AQ$8,'Journal Entries'!$C:$C,"&gt;"&amp;AP$8)</f>
        <v>0</v>
      </c>
      <c r="AR34" s="43">
        <f>SUMIFS('Journal Entries'!$L:$L,'Journal Entries'!$K:$K,$C34,'Journal Entries'!$C:$C,"&lt;="&amp;AR$8,'Journal Entries'!$C:$C,"&gt;"&amp;AQ$8)</f>
        <v>0</v>
      </c>
      <c r="AS34" s="43">
        <f>SUMIFS('Journal Entries'!$L:$L,'Journal Entries'!$K:$K,$C34,'Journal Entries'!$C:$C,"&lt;="&amp;AS$8,'Journal Entries'!$C:$C,"&gt;"&amp;AR$8)</f>
        <v>0</v>
      </c>
      <c r="AT34" s="43">
        <f>SUMIFS('Journal Entries'!$L:$L,'Journal Entries'!$K:$K,$C34,'Journal Entries'!$C:$C,"&lt;="&amp;AT$8,'Journal Entries'!$C:$C,"&gt;"&amp;AS$8)</f>
        <v>0</v>
      </c>
      <c r="AU34" s="43">
        <f>SUMIFS('Journal Entries'!$L:$L,'Journal Entries'!$K:$K,$C34,'Journal Entries'!$C:$C,"&lt;="&amp;AU$8,'Journal Entries'!$C:$C,"&gt;"&amp;AT$8)</f>
        <v>0</v>
      </c>
      <c r="AV34" s="43">
        <f>SUMIFS('Journal Entries'!$L:$L,'Journal Entries'!$K:$K,$C34,'Journal Entries'!$C:$C,"&lt;="&amp;AV$8,'Journal Entries'!$C:$C,"&gt;"&amp;AU$8)</f>
        <v>0</v>
      </c>
      <c r="AW34" s="43">
        <f>SUMIFS('Journal Entries'!$L:$L,'Journal Entries'!$K:$K,$C34,'Journal Entries'!$C:$C,"&lt;="&amp;AW$8,'Journal Entries'!$C:$C,"&gt;"&amp;AV$8)</f>
        <v>0</v>
      </c>
      <c r="AX34" s="43">
        <f>SUMIFS('Journal Entries'!$L:$L,'Journal Entries'!$K:$K,$C34,'Journal Entries'!$C:$C,"&lt;="&amp;AX$8,'Journal Entries'!$C:$C,"&gt;"&amp;AW$8)</f>
        <v>0</v>
      </c>
      <c r="AY34" s="43">
        <f>SUMIFS('Journal Entries'!$L:$L,'Journal Entries'!$K:$K,$C34,'Journal Entries'!$C:$C,"&lt;="&amp;AY$8,'Journal Entries'!$C:$C,"&gt;"&amp;AX$8)</f>
        <v>0</v>
      </c>
      <c r="AZ34" s="43">
        <f>SUMIFS('Journal Entries'!$L:$L,'Journal Entries'!$K:$K,$C34,'Journal Entries'!$C:$C,"&lt;="&amp;AZ$8,'Journal Entries'!$C:$C,"&gt;"&amp;AY$8)</f>
        <v>0</v>
      </c>
      <c r="BA34" s="43">
        <f>SUMIFS('Journal Entries'!$L:$L,'Journal Entries'!$K:$K,$C34,'Journal Entries'!$C:$C,"&lt;="&amp;BA$8,'Journal Entries'!$C:$C,"&gt;"&amp;AZ$8)</f>
        <v>0</v>
      </c>
      <c r="BB34" s="43">
        <f>SUMIFS('Journal Entries'!$L:$L,'Journal Entries'!$K:$K,$C34,'Journal Entries'!$C:$C,"&lt;="&amp;BB$8,'Journal Entries'!$C:$C,"&gt;"&amp;BA$8)</f>
        <v>0</v>
      </c>
      <c r="BC34" s="43">
        <f>SUMIFS('Journal Entries'!$L:$L,'Journal Entries'!$K:$K,$C34,'Journal Entries'!$C:$C,"&lt;="&amp;BC$8,'Journal Entries'!$C:$C,"&gt;"&amp;BB$8)</f>
        <v>0</v>
      </c>
      <c r="BD34" s="43">
        <f>SUMIFS('Journal Entries'!$L:$L,'Journal Entries'!$K:$K,$C34,'Journal Entries'!$C:$C,"&lt;="&amp;BD$8,'Journal Entries'!$C:$C,"&gt;"&amp;BC$8)</f>
        <v>0</v>
      </c>
      <c r="BE34" s="43">
        <f>SUMIFS('Journal Entries'!$L:$L,'Journal Entries'!$K:$K,$C34,'Journal Entries'!$C:$C,"&lt;="&amp;BE$8,'Journal Entries'!$C:$C,"&gt;"&amp;BD$8)</f>
        <v>0</v>
      </c>
      <c r="BF34" s="43">
        <f>SUMIFS('Journal Entries'!$L:$L,'Journal Entries'!$K:$K,$C34,'Journal Entries'!$C:$C,"&lt;="&amp;BF$8,'Journal Entries'!$C:$C,"&gt;"&amp;BE$8)</f>
        <v>0</v>
      </c>
      <c r="BG34" s="43">
        <f>SUMIFS('Journal Entries'!$L:$L,'Journal Entries'!$K:$K,$C34,'Journal Entries'!$C:$C,"&lt;="&amp;BG$8,'Journal Entries'!$C:$C,"&gt;"&amp;BF$8)</f>
        <v>0</v>
      </c>
      <c r="BH34" s="43">
        <f>SUMIFS('Journal Entries'!$L:$L,'Journal Entries'!$K:$K,$C34,'Journal Entries'!$C:$C,"&lt;="&amp;BH$8,'Journal Entries'!$C:$C,"&gt;"&amp;BG$8)</f>
        <v>0</v>
      </c>
      <c r="BI34" s="43">
        <f>SUMIFS('Journal Entries'!$L:$L,'Journal Entries'!$K:$K,$C34,'Journal Entries'!$C:$C,"&lt;="&amp;BI$8,'Journal Entries'!$C:$C,"&gt;"&amp;BH$8)</f>
        <v>0</v>
      </c>
      <c r="BJ34" s="43">
        <f>SUMIFS('Journal Entries'!$L:$L,'Journal Entries'!$K:$K,$C34,'Journal Entries'!$C:$C,"&lt;="&amp;BJ$8,'Journal Entries'!$C:$C,"&gt;"&amp;BI$8)</f>
        <v>0</v>
      </c>
      <c r="BK34" s="43">
        <f>SUMIFS('Journal Entries'!$L:$L,'Journal Entries'!$K:$K,$C34,'Journal Entries'!$C:$C,"&lt;="&amp;BK$8,'Journal Entries'!$C:$C,"&gt;"&amp;BJ$8)</f>
        <v>0</v>
      </c>
      <c r="BL34" s="43">
        <f>SUMIFS('Journal Entries'!$L:$L,'Journal Entries'!$K:$K,$C34,'Journal Entries'!$C:$C,"&lt;="&amp;BL$8,'Journal Entries'!$C:$C,"&gt;"&amp;BK$8)</f>
        <v>0</v>
      </c>
    </row>
    <row r="35" spans="2:64" x14ac:dyDescent="0.25">
      <c r="B35" s="10">
        <v>2130</v>
      </c>
      <c r="C35" s="10" t="str">
        <f>VLOOKUP(B35,'Chart of Accounts'!$B$3:$C$95,2,0)</f>
        <v>Due diligence fee payable</v>
      </c>
      <c r="D35" s="525">
        <f t="shared" si="2"/>
        <v>0</v>
      </c>
      <c r="E35" s="43">
        <f>SUMIFS('Journal Entries'!$L:$L,'Journal Entries'!$K:$K,$C35,'Journal Entries'!$C:$C,"&lt;="&amp;E$8,'Journal Entries'!$C:$C,"&gt;"&amp;D$8)</f>
        <v>0</v>
      </c>
      <c r="F35" s="43">
        <f>SUMIFS('Journal Entries'!$L:$L,'Journal Entries'!$K:$K,$C35,'Journal Entries'!$C:$C,"&lt;="&amp;F$8,'Journal Entries'!$C:$C,"&gt;"&amp;E$8)</f>
        <v>-75000</v>
      </c>
      <c r="G35" s="43">
        <f>SUMIFS('Journal Entries'!$L:$L,'Journal Entries'!$K:$K,$C35,'Journal Entries'!$C:$C,"&lt;="&amp;G$8,'Journal Entries'!$C:$C,"&gt;"&amp;F$8)</f>
        <v>75000</v>
      </c>
      <c r="H35" s="43">
        <f>SUMIFS('Journal Entries'!$L:$L,'Journal Entries'!$K:$K,$C35,'Journal Entries'!$C:$C,"&lt;="&amp;H$8,'Journal Entries'!$C:$C,"&gt;"&amp;G$8)</f>
        <v>0</v>
      </c>
      <c r="I35" s="43">
        <f>SUMIFS('Journal Entries'!$L:$L,'Journal Entries'!$K:$K,$C35,'Journal Entries'!$C:$C,"&lt;="&amp;I$8,'Journal Entries'!$C:$C,"&gt;"&amp;H$8)</f>
        <v>0</v>
      </c>
      <c r="J35" s="43">
        <f>SUMIFS('Journal Entries'!$L:$L,'Journal Entries'!$K:$K,$C35,'Journal Entries'!$C:$C,"&lt;="&amp;J$8,'Journal Entries'!$C:$C,"&gt;"&amp;I$8)</f>
        <v>0</v>
      </c>
      <c r="K35" s="43">
        <f>SUMIFS('Journal Entries'!$L:$L,'Journal Entries'!$K:$K,$C35,'Journal Entries'!$C:$C,"&lt;="&amp;K$8,'Journal Entries'!$C:$C,"&gt;"&amp;J$8)</f>
        <v>0</v>
      </c>
      <c r="L35" s="43">
        <f>SUMIFS('Journal Entries'!$L:$L,'Journal Entries'!$K:$K,$C35,'Journal Entries'!$C:$C,"&lt;="&amp;L$8,'Journal Entries'!$C:$C,"&gt;"&amp;K$8)</f>
        <v>0</v>
      </c>
      <c r="M35" s="43">
        <f>SUMIFS('Journal Entries'!$L:$L,'Journal Entries'!$K:$K,$C35,'Journal Entries'!$C:$C,"&lt;="&amp;M$8,'Journal Entries'!$C:$C,"&gt;"&amp;L$8)</f>
        <v>0</v>
      </c>
      <c r="N35" s="43">
        <f>SUMIFS('Journal Entries'!$L:$L,'Journal Entries'!$K:$K,$C35,'Journal Entries'!$C:$C,"&lt;="&amp;N$8,'Journal Entries'!$C:$C,"&gt;"&amp;M$8)</f>
        <v>0</v>
      </c>
      <c r="O35" s="43">
        <f>SUMIFS('Journal Entries'!$L:$L,'Journal Entries'!$K:$K,$C35,'Journal Entries'!$C:$C,"&lt;="&amp;O$8,'Journal Entries'!$C:$C,"&gt;"&amp;N$8)</f>
        <v>0</v>
      </c>
      <c r="P35" s="43">
        <f>SUMIFS('Journal Entries'!$L:$L,'Journal Entries'!$K:$K,$C35,'Journal Entries'!$C:$C,"&lt;="&amp;P$8,'Journal Entries'!$C:$C,"&gt;"&amp;O$8)</f>
        <v>0</v>
      </c>
      <c r="Q35" s="43">
        <f>SUMIFS('Journal Entries'!$L:$L,'Journal Entries'!$K:$K,$C35,'Journal Entries'!$C:$C,"&lt;="&amp;Q$8,'Journal Entries'!$C:$C,"&gt;"&amp;P$8)</f>
        <v>0</v>
      </c>
      <c r="R35" s="43">
        <f>SUMIFS('Journal Entries'!$L:$L,'Journal Entries'!$K:$K,$C35,'Journal Entries'!$C:$C,"&lt;="&amp;R$8,'Journal Entries'!$C:$C,"&gt;"&amp;Q$8)</f>
        <v>0</v>
      </c>
      <c r="S35" s="43">
        <f>SUMIFS('Journal Entries'!$L:$L,'Journal Entries'!$K:$K,$C35,'Journal Entries'!$C:$C,"&lt;="&amp;S$8,'Journal Entries'!$C:$C,"&gt;"&amp;R$8)</f>
        <v>0</v>
      </c>
      <c r="T35" s="43">
        <f>SUMIFS('Journal Entries'!$L:$L,'Journal Entries'!$K:$K,$C35,'Journal Entries'!$C:$C,"&lt;="&amp;T$8,'Journal Entries'!$C:$C,"&gt;"&amp;S$8)</f>
        <v>0</v>
      </c>
      <c r="U35" s="43">
        <f>SUMIFS('Journal Entries'!$L:$L,'Journal Entries'!$K:$K,$C35,'Journal Entries'!$C:$C,"&lt;="&amp;U$8,'Journal Entries'!$C:$C,"&gt;"&amp;T$8)</f>
        <v>0</v>
      </c>
      <c r="V35" s="43">
        <f>SUMIFS('Journal Entries'!$L:$L,'Journal Entries'!$K:$K,$C35,'Journal Entries'!$C:$C,"&lt;="&amp;V$8,'Journal Entries'!$C:$C,"&gt;"&amp;U$8)</f>
        <v>0</v>
      </c>
      <c r="W35" s="43">
        <f>SUMIFS('Journal Entries'!$L:$L,'Journal Entries'!$K:$K,$C35,'Journal Entries'!$C:$C,"&lt;="&amp;W$8,'Journal Entries'!$C:$C,"&gt;"&amp;V$8)</f>
        <v>0</v>
      </c>
      <c r="X35" s="43">
        <f>SUMIFS('Journal Entries'!$L:$L,'Journal Entries'!$K:$K,$C35,'Journal Entries'!$C:$C,"&lt;="&amp;X$8,'Journal Entries'!$C:$C,"&gt;"&amp;W$8)</f>
        <v>0</v>
      </c>
      <c r="Y35" s="43">
        <f>SUMIFS('Journal Entries'!$L:$L,'Journal Entries'!$K:$K,$C35,'Journal Entries'!$C:$C,"&lt;="&amp;Y$8,'Journal Entries'!$C:$C,"&gt;"&amp;X$8)</f>
        <v>0</v>
      </c>
      <c r="Z35" s="43">
        <f>SUMIFS('Journal Entries'!$L:$L,'Journal Entries'!$K:$K,$C35,'Journal Entries'!$C:$C,"&lt;="&amp;Z$8,'Journal Entries'!$C:$C,"&gt;"&amp;Y$8)</f>
        <v>0</v>
      </c>
      <c r="AA35" s="43">
        <f>SUMIFS('Journal Entries'!$L:$L,'Journal Entries'!$K:$K,$C35,'Journal Entries'!$C:$C,"&lt;="&amp;AA$8,'Journal Entries'!$C:$C,"&gt;"&amp;Z$8)</f>
        <v>0</v>
      </c>
      <c r="AB35" s="43">
        <f>SUMIFS('Journal Entries'!$L:$L,'Journal Entries'!$K:$K,$C35,'Journal Entries'!$C:$C,"&lt;="&amp;AB$8,'Journal Entries'!$C:$C,"&gt;"&amp;AA$8)</f>
        <v>0</v>
      </c>
      <c r="AC35" s="43">
        <f>SUMIFS('Journal Entries'!$L:$L,'Journal Entries'!$K:$K,$C35,'Journal Entries'!$C:$C,"&lt;="&amp;AC$8,'Journal Entries'!$C:$C,"&gt;"&amp;AB$8)</f>
        <v>0</v>
      </c>
      <c r="AD35" s="43">
        <f>SUMIFS('Journal Entries'!$L:$L,'Journal Entries'!$K:$K,$C35,'Journal Entries'!$C:$C,"&lt;="&amp;AD$8,'Journal Entries'!$C:$C,"&gt;"&amp;AC$8)</f>
        <v>0</v>
      </c>
      <c r="AE35" s="43">
        <f>SUMIFS('Journal Entries'!$L:$L,'Journal Entries'!$K:$K,$C35,'Journal Entries'!$C:$C,"&lt;="&amp;AE$8,'Journal Entries'!$C:$C,"&gt;"&amp;AD$8)</f>
        <v>0</v>
      </c>
      <c r="AF35" s="43">
        <f>SUMIFS('Journal Entries'!$L:$L,'Journal Entries'!$K:$K,$C35,'Journal Entries'!$C:$C,"&lt;="&amp;AF$8,'Journal Entries'!$C:$C,"&gt;"&amp;AE$8)</f>
        <v>0</v>
      </c>
      <c r="AG35" s="43">
        <f>SUMIFS('Journal Entries'!$L:$L,'Journal Entries'!$K:$K,$C35,'Journal Entries'!$C:$C,"&lt;="&amp;AG$8,'Journal Entries'!$C:$C,"&gt;"&amp;AF$8)</f>
        <v>0</v>
      </c>
      <c r="AH35" s="43">
        <f>SUMIFS('Journal Entries'!$L:$L,'Journal Entries'!$K:$K,$C35,'Journal Entries'!$C:$C,"&lt;="&amp;AH$8,'Journal Entries'!$C:$C,"&gt;"&amp;AG$8)</f>
        <v>0</v>
      </c>
      <c r="AI35" s="43">
        <f>SUMIFS('Journal Entries'!$L:$L,'Journal Entries'!$K:$K,$C35,'Journal Entries'!$C:$C,"&lt;="&amp;AI$8,'Journal Entries'!$C:$C,"&gt;"&amp;AH$8)</f>
        <v>0</v>
      </c>
      <c r="AJ35" s="43">
        <f>SUMIFS('Journal Entries'!$L:$L,'Journal Entries'!$K:$K,$C35,'Journal Entries'!$C:$C,"&lt;="&amp;AJ$8,'Journal Entries'!$C:$C,"&gt;"&amp;AI$8)</f>
        <v>0</v>
      </c>
      <c r="AK35" s="43">
        <f>SUMIFS('Journal Entries'!$L:$L,'Journal Entries'!$K:$K,$C35,'Journal Entries'!$C:$C,"&lt;="&amp;AK$8,'Journal Entries'!$C:$C,"&gt;"&amp;AJ$8)</f>
        <v>0</v>
      </c>
      <c r="AL35" s="43">
        <f>SUMIFS('Journal Entries'!$L:$L,'Journal Entries'!$K:$K,$C35,'Journal Entries'!$C:$C,"&lt;="&amp;AL$8,'Journal Entries'!$C:$C,"&gt;"&amp;AK$8)</f>
        <v>0</v>
      </c>
      <c r="AM35" s="43">
        <f>SUMIFS('Journal Entries'!$L:$L,'Journal Entries'!$K:$K,$C35,'Journal Entries'!$C:$C,"&lt;="&amp;AM$8,'Journal Entries'!$C:$C,"&gt;"&amp;AL$8)</f>
        <v>0</v>
      </c>
      <c r="AN35" s="43">
        <f>SUMIFS('Journal Entries'!$L:$L,'Journal Entries'!$K:$K,$C35,'Journal Entries'!$C:$C,"&lt;="&amp;AN$8,'Journal Entries'!$C:$C,"&gt;"&amp;AM$8)</f>
        <v>0</v>
      </c>
      <c r="AO35" s="43">
        <f>SUMIFS('Journal Entries'!$L:$L,'Journal Entries'!$K:$K,$C35,'Journal Entries'!$C:$C,"&lt;="&amp;AO$8,'Journal Entries'!$C:$C,"&gt;"&amp;AN$8)</f>
        <v>0</v>
      </c>
      <c r="AP35" s="43">
        <f>SUMIFS('Journal Entries'!$L:$L,'Journal Entries'!$K:$K,$C35,'Journal Entries'!$C:$C,"&lt;="&amp;AP$8,'Journal Entries'!$C:$C,"&gt;"&amp;AO$8)</f>
        <v>0</v>
      </c>
      <c r="AQ35" s="43">
        <f>SUMIFS('Journal Entries'!$L:$L,'Journal Entries'!$K:$K,$C35,'Journal Entries'!$C:$C,"&lt;="&amp;AQ$8,'Journal Entries'!$C:$C,"&gt;"&amp;AP$8)</f>
        <v>0</v>
      </c>
      <c r="AR35" s="43">
        <f>SUMIFS('Journal Entries'!$L:$L,'Journal Entries'!$K:$K,$C35,'Journal Entries'!$C:$C,"&lt;="&amp;AR$8,'Journal Entries'!$C:$C,"&gt;"&amp;AQ$8)</f>
        <v>0</v>
      </c>
      <c r="AS35" s="43">
        <f>SUMIFS('Journal Entries'!$L:$L,'Journal Entries'!$K:$K,$C35,'Journal Entries'!$C:$C,"&lt;="&amp;AS$8,'Journal Entries'!$C:$C,"&gt;"&amp;AR$8)</f>
        <v>0</v>
      </c>
      <c r="AT35" s="43">
        <f>SUMIFS('Journal Entries'!$L:$L,'Journal Entries'!$K:$K,$C35,'Journal Entries'!$C:$C,"&lt;="&amp;AT$8,'Journal Entries'!$C:$C,"&gt;"&amp;AS$8)</f>
        <v>0</v>
      </c>
      <c r="AU35" s="43">
        <f>SUMIFS('Journal Entries'!$L:$L,'Journal Entries'!$K:$K,$C35,'Journal Entries'!$C:$C,"&lt;="&amp;AU$8,'Journal Entries'!$C:$C,"&gt;"&amp;AT$8)</f>
        <v>0</v>
      </c>
      <c r="AV35" s="43">
        <f>SUMIFS('Journal Entries'!$L:$L,'Journal Entries'!$K:$K,$C35,'Journal Entries'!$C:$C,"&lt;="&amp;AV$8,'Journal Entries'!$C:$C,"&gt;"&amp;AU$8)</f>
        <v>0</v>
      </c>
      <c r="AW35" s="43">
        <f>SUMIFS('Journal Entries'!$L:$L,'Journal Entries'!$K:$K,$C35,'Journal Entries'!$C:$C,"&lt;="&amp;AW$8,'Journal Entries'!$C:$C,"&gt;"&amp;AV$8)</f>
        <v>0</v>
      </c>
      <c r="AX35" s="43">
        <f>SUMIFS('Journal Entries'!$L:$L,'Journal Entries'!$K:$K,$C35,'Journal Entries'!$C:$C,"&lt;="&amp;AX$8,'Journal Entries'!$C:$C,"&gt;"&amp;AW$8)</f>
        <v>0</v>
      </c>
      <c r="AY35" s="43">
        <f>SUMIFS('Journal Entries'!$L:$L,'Journal Entries'!$K:$K,$C35,'Journal Entries'!$C:$C,"&lt;="&amp;AY$8,'Journal Entries'!$C:$C,"&gt;"&amp;AX$8)</f>
        <v>0</v>
      </c>
      <c r="AZ35" s="43">
        <f>SUMIFS('Journal Entries'!$L:$L,'Journal Entries'!$K:$K,$C35,'Journal Entries'!$C:$C,"&lt;="&amp;AZ$8,'Journal Entries'!$C:$C,"&gt;"&amp;AY$8)</f>
        <v>0</v>
      </c>
      <c r="BA35" s="43">
        <f>SUMIFS('Journal Entries'!$L:$L,'Journal Entries'!$K:$K,$C35,'Journal Entries'!$C:$C,"&lt;="&amp;BA$8,'Journal Entries'!$C:$C,"&gt;"&amp;AZ$8)</f>
        <v>0</v>
      </c>
      <c r="BB35" s="43">
        <f>SUMIFS('Journal Entries'!$L:$L,'Journal Entries'!$K:$K,$C35,'Journal Entries'!$C:$C,"&lt;="&amp;BB$8,'Journal Entries'!$C:$C,"&gt;"&amp;BA$8)</f>
        <v>0</v>
      </c>
      <c r="BC35" s="43">
        <f>SUMIFS('Journal Entries'!$L:$L,'Journal Entries'!$K:$K,$C35,'Journal Entries'!$C:$C,"&lt;="&amp;BC$8,'Journal Entries'!$C:$C,"&gt;"&amp;BB$8)</f>
        <v>0</v>
      </c>
      <c r="BD35" s="43">
        <f>SUMIFS('Journal Entries'!$L:$L,'Journal Entries'!$K:$K,$C35,'Journal Entries'!$C:$C,"&lt;="&amp;BD$8,'Journal Entries'!$C:$C,"&gt;"&amp;BC$8)</f>
        <v>0</v>
      </c>
      <c r="BE35" s="43">
        <f>SUMIFS('Journal Entries'!$L:$L,'Journal Entries'!$K:$K,$C35,'Journal Entries'!$C:$C,"&lt;="&amp;BE$8,'Journal Entries'!$C:$C,"&gt;"&amp;BD$8)</f>
        <v>0</v>
      </c>
      <c r="BF35" s="43">
        <f>SUMIFS('Journal Entries'!$L:$L,'Journal Entries'!$K:$K,$C35,'Journal Entries'!$C:$C,"&lt;="&amp;BF$8,'Journal Entries'!$C:$C,"&gt;"&amp;BE$8)</f>
        <v>0</v>
      </c>
      <c r="BG35" s="43">
        <f>SUMIFS('Journal Entries'!$L:$L,'Journal Entries'!$K:$K,$C35,'Journal Entries'!$C:$C,"&lt;="&amp;BG$8,'Journal Entries'!$C:$C,"&gt;"&amp;BF$8)</f>
        <v>0</v>
      </c>
      <c r="BH35" s="43">
        <f>SUMIFS('Journal Entries'!$L:$L,'Journal Entries'!$K:$K,$C35,'Journal Entries'!$C:$C,"&lt;="&amp;BH$8,'Journal Entries'!$C:$C,"&gt;"&amp;BG$8)</f>
        <v>0</v>
      </c>
      <c r="BI35" s="43">
        <f>SUMIFS('Journal Entries'!$L:$L,'Journal Entries'!$K:$K,$C35,'Journal Entries'!$C:$C,"&lt;="&amp;BI$8,'Journal Entries'!$C:$C,"&gt;"&amp;BH$8)</f>
        <v>0</v>
      </c>
      <c r="BJ35" s="43">
        <f>SUMIFS('Journal Entries'!$L:$L,'Journal Entries'!$K:$K,$C35,'Journal Entries'!$C:$C,"&lt;="&amp;BJ$8,'Journal Entries'!$C:$C,"&gt;"&amp;BI$8)</f>
        <v>0</v>
      </c>
      <c r="BK35" s="43">
        <f>SUMIFS('Journal Entries'!$L:$L,'Journal Entries'!$K:$K,$C35,'Journal Entries'!$C:$C,"&lt;="&amp;BK$8,'Journal Entries'!$C:$C,"&gt;"&amp;BJ$8)</f>
        <v>0</v>
      </c>
      <c r="BL35" s="43">
        <f>SUMIFS('Journal Entries'!$L:$L,'Journal Entries'!$K:$K,$C35,'Journal Entries'!$C:$C,"&lt;="&amp;BL$8,'Journal Entries'!$C:$C,"&gt;"&amp;BK$8)</f>
        <v>0</v>
      </c>
    </row>
    <row r="36" spans="2:64" x14ac:dyDescent="0.25">
      <c r="B36" s="10">
        <v>2140</v>
      </c>
      <c r="C36" s="10" t="str">
        <f>VLOOKUP(B36,'Chart of Accounts'!$B$3:$C$95,2,0)</f>
        <v>Interest payable</v>
      </c>
      <c r="D36" s="525">
        <f t="shared" si="2"/>
        <v>0</v>
      </c>
      <c r="E36" s="43">
        <f>SUMIFS('Journal Entries'!$L:$L,'Journal Entries'!$K:$K,$C36,'Journal Entries'!$C:$C,"&lt;="&amp;E$8,'Journal Entries'!$C:$C,"&gt;"&amp;D$8)</f>
        <v>0</v>
      </c>
      <c r="F36" s="43">
        <f>SUMIFS('Journal Entries'!$L:$L,'Journal Entries'!$K:$K,$C36,'Journal Entries'!$C:$C,"&lt;="&amp;F$8,'Journal Entries'!$C:$C,"&gt;"&amp;E$8)</f>
        <v>0</v>
      </c>
      <c r="G36" s="43">
        <f>SUMIFS('Journal Entries'!$L:$L,'Journal Entries'!$K:$K,$C36,'Journal Entries'!$C:$C,"&lt;="&amp;G$8,'Journal Entries'!$C:$C,"&gt;"&amp;F$8)</f>
        <v>0</v>
      </c>
      <c r="H36" s="43">
        <f>SUMIFS('Journal Entries'!$L:$L,'Journal Entries'!$K:$K,$C36,'Journal Entries'!$C:$C,"&lt;="&amp;H$8,'Journal Entries'!$C:$C,"&gt;"&amp;G$8)</f>
        <v>0</v>
      </c>
      <c r="I36" s="43">
        <f>SUMIFS('Journal Entries'!$L:$L,'Journal Entries'!$K:$K,$C36,'Journal Entries'!$C:$C,"&lt;="&amp;I$8,'Journal Entries'!$C:$C,"&gt;"&amp;H$8)</f>
        <v>0</v>
      </c>
      <c r="J36" s="43">
        <f>SUMIFS('Journal Entries'!$L:$L,'Journal Entries'!$K:$K,$C36,'Journal Entries'!$C:$C,"&lt;="&amp;J$8,'Journal Entries'!$C:$C,"&gt;"&amp;I$8)</f>
        <v>0</v>
      </c>
      <c r="K36" s="43">
        <f>SUMIFS('Journal Entries'!$L:$L,'Journal Entries'!$K:$K,$C36,'Journal Entries'!$C:$C,"&lt;="&amp;K$8,'Journal Entries'!$C:$C,"&gt;"&amp;J$8)</f>
        <v>0</v>
      </c>
      <c r="L36" s="43">
        <f>SUMIFS('Journal Entries'!$L:$L,'Journal Entries'!$K:$K,$C36,'Journal Entries'!$C:$C,"&lt;="&amp;L$8,'Journal Entries'!$C:$C,"&gt;"&amp;K$8)</f>
        <v>0</v>
      </c>
      <c r="M36" s="43">
        <f>SUMIFS('Journal Entries'!$L:$L,'Journal Entries'!$K:$K,$C36,'Journal Entries'!$C:$C,"&lt;="&amp;M$8,'Journal Entries'!$C:$C,"&gt;"&amp;L$8)</f>
        <v>0</v>
      </c>
      <c r="N36" s="43">
        <f>SUMIFS('Journal Entries'!$L:$L,'Journal Entries'!$K:$K,$C36,'Journal Entries'!$C:$C,"&lt;="&amp;N$8,'Journal Entries'!$C:$C,"&gt;"&amp;M$8)</f>
        <v>0</v>
      </c>
      <c r="O36" s="43">
        <f>SUMIFS('Journal Entries'!$L:$L,'Journal Entries'!$K:$K,$C36,'Journal Entries'!$C:$C,"&lt;="&amp;O$8,'Journal Entries'!$C:$C,"&gt;"&amp;N$8)</f>
        <v>0</v>
      </c>
      <c r="P36" s="43">
        <f>SUMIFS('Journal Entries'!$L:$L,'Journal Entries'!$K:$K,$C36,'Journal Entries'!$C:$C,"&lt;="&amp;P$8,'Journal Entries'!$C:$C,"&gt;"&amp;O$8)</f>
        <v>0</v>
      </c>
      <c r="Q36" s="43">
        <f>SUMIFS('Journal Entries'!$L:$L,'Journal Entries'!$K:$K,$C36,'Journal Entries'!$C:$C,"&lt;="&amp;Q$8,'Journal Entries'!$C:$C,"&gt;"&amp;P$8)</f>
        <v>0</v>
      </c>
      <c r="R36" s="43">
        <f>SUMIFS('Journal Entries'!$L:$L,'Journal Entries'!$K:$K,$C36,'Journal Entries'!$C:$C,"&lt;="&amp;R$8,'Journal Entries'!$C:$C,"&gt;"&amp;Q$8)</f>
        <v>0</v>
      </c>
      <c r="S36" s="43">
        <f>SUMIFS('Journal Entries'!$L:$L,'Journal Entries'!$K:$K,$C36,'Journal Entries'!$C:$C,"&lt;="&amp;S$8,'Journal Entries'!$C:$C,"&gt;"&amp;R$8)</f>
        <v>0</v>
      </c>
      <c r="T36" s="43">
        <f>SUMIFS('Journal Entries'!$L:$L,'Journal Entries'!$K:$K,$C36,'Journal Entries'!$C:$C,"&lt;="&amp;T$8,'Journal Entries'!$C:$C,"&gt;"&amp;S$8)</f>
        <v>0</v>
      </c>
      <c r="U36" s="43">
        <f>SUMIFS('Journal Entries'!$L:$L,'Journal Entries'!$K:$K,$C36,'Journal Entries'!$C:$C,"&lt;="&amp;U$8,'Journal Entries'!$C:$C,"&gt;"&amp;T$8)</f>
        <v>0</v>
      </c>
      <c r="V36" s="43">
        <f>SUMIFS('Journal Entries'!$L:$L,'Journal Entries'!$K:$K,$C36,'Journal Entries'!$C:$C,"&lt;="&amp;V$8,'Journal Entries'!$C:$C,"&gt;"&amp;U$8)</f>
        <v>0</v>
      </c>
      <c r="W36" s="43">
        <f>SUMIFS('Journal Entries'!$L:$L,'Journal Entries'!$K:$K,$C36,'Journal Entries'!$C:$C,"&lt;="&amp;W$8,'Journal Entries'!$C:$C,"&gt;"&amp;V$8)</f>
        <v>0</v>
      </c>
      <c r="X36" s="43">
        <f>SUMIFS('Journal Entries'!$L:$L,'Journal Entries'!$K:$K,$C36,'Journal Entries'!$C:$C,"&lt;="&amp;X$8,'Journal Entries'!$C:$C,"&gt;"&amp;W$8)</f>
        <v>0</v>
      </c>
      <c r="Y36" s="43">
        <f>SUMIFS('Journal Entries'!$L:$L,'Journal Entries'!$K:$K,$C36,'Journal Entries'!$C:$C,"&lt;="&amp;Y$8,'Journal Entries'!$C:$C,"&gt;"&amp;X$8)</f>
        <v>0</v>
      </c>
      <c r="Z36" s="43">
        <f>SUMIFS('Journal Entries'!$L:$L,'Journal Entries'!$K:$K,$C36,'Journal Entries'!$C:$C,"&lt;="&amp;Z$8,'Journal Entries'!$C:$C,"&gt;"&amp;Y$8)</f>
        <v>0</v>
      </c>
      <c r="AA36" s="43">
        <f>SUMIFS('Journal Entries'!$L:$L,'Journal Entries'!$K:$K,$C36,'Journal Entries'!$C:$C,"&lt;="&amp;AA$8,'Journal Entries'!$C:$C,"&gt;"&amp;Z$8)</f>
        <v>0</v>
      </c>
      <c r="AB36" s="43">
        <f>SUMIFS('Journal Entries'!$L:$L,'Journal Entries'!$K:$K,$C36,'Journal Entries'!$C:$C,"&lt;="&amp;AB$8,'Journal Entries'!$C:$C,"&gt;"&amp;AA$8)</f>
        <v>0</v>
      </c>
      <c r="AC36" s="43">
        <f>SUMIFS('Journal Entries'!$L:$L,'Journal Entries'!$K:$K,$C36,'Journal Entries'!$C:$C,"&lt;="&amp;AC$8,'Journal Entries'!$C:$C,"&gt;"&amp;AB$8)</f>
        <v>0</v>
      </c>
      <c r="AD36" s="43">
        <f>SUMIFS('Journal Entries'!$L:$L,'Journal Entries'!$K:$K,$C36,'Journal Entries'!$C:$C,"&lt;="&amp;AD$8,'Journal Entries'!$C:$C,"&gt;"&amp;AC$8)</f>
        <v>0</v>
      </c>
      <c r="AE36" s="43">
        <f>SUMIFS('Journal Entries'!$L:$L,'Journal Entries'!$K:$K,$C36,'Journal Entries'!$C:$C,"&lt;="&amp;AE$8,'Journal Entries'!$C:$C,"&gt;"&amp;AD$8)</f>
        <v>0</v>
      </c>
      <c r="AF36" s="43">
        <f>SUMIFS('Journal Entries'!$L:$L,'Journal Entries'!$K:$K,$C36,'Journal Entries'!$C:$C,"&lt;="&amp;AF$8,'Journal Entries'!$C:$C,"&gt;"&amp;AE$8)</f>
        <v>0</v>
      </c>
      <c r="AG36" s="43">
        <f>SUMIFS('Journal Entries'!$L:$L,'Journal Entries'!$K:$K,$C36,'Journal Entries'!$C:$C,"&lt;="&amp;AG$8,'Journal Entries'!$C:$C,"&gt;"&amp;AF$8)</f>
        <v>0</v>
      </c>
      <c r="AH36" s="43">
        <f>SUMIFS('Journal Entries'!$L:$L,'Journal Entries'!$K:$K,$C36,'Journal Entries'!$C:$C,"&lt;="&amp;AH$8,'Journal Entries'!$C:$C,"&gt;"&amp;AG$8)</f>
        <v>0</v>
      </c>
      <c r="AI36" s="43">
        <f>SUMIFS('Journal Entries'!$L:$L,'Journal Entries'!$K:$K,$C36,'Journal Entries'!$C:$C,"&lt;="&amp;AI$8,'Journal Entries'!$C:$C,"&gt;"&amp;AH$8)</f>
        <v>0</v>
      </c>
      <c r="AJ36" s="43">
        <f>SUMIFS('Journal Entries'!$L:$L,'Journal Entries'!$K:$K,$C36,'Journal Entries'!$C:$C,"&lt;="&amp;AJ$8,'Journal Entries'!$C:$C,"&gt;"&amp;AI$8)</f>
        <v>0</v>
      </c>
      <c r="AK36" s="43">
        <f>SUMIFS('Journal Entries'!$L:$L,'Journal Entries'!$K:$K,$C36,'Journal Entries'!$C:$C,"&lt;="&amp;AK$8,'Journal Entries'!$C:$C,"&gt;"&amp;AJ$8)</f>
        <v>0</v>
      </c>
      <c r="AL36" s="43">
        <f>SUMIFS('Journal Entries'!$L:$L,'Journal Entries'!$K:$K,$C36,'Journal Entries'!$C:$C,"&lt;="&amp;AL$8,'Journal Entries'!$C:$C,"&gt;"&amp;AK$8)</f>
        <v>0</v>
      </c>
      <c r="AM36" s="43">
        <f>SUMIFS('Journal Entries'!$L:$L,'Journal Entries'!$K:$K,$C36,'Journal Entries'!$C:$C,"&lt;="&amp;AM$8,'Journal Entries'!$C:$C,"&gt;"&amp;AL$8)</f>
        <v>0</v>
      </c>
      <c r="AN36" s="43">
        <f>SUMIFS('Journal Entries'!$L:$L,'Journal Entries'!$K:$K,$C36,'Journal Entries'!$C:$C,"&lt;="&amp;AN$8,'Journal Entries'!$C:$C,"&gt;"&amp;AM$8)</f>
        <v>0</v>
      </c>
      <c r="AO36" s="43">
        <f>SUMIFS('Journal Entries'!$L:$L,'Journal Entries'!$K:$K,$C36,'Journal Entries'!$C:$C,"&lt;="&amp;AO$8,'Journal Entries'!$C:$C,"&gt;"&amp;AN$8)</f>
        <v>0</v>
      </c>
      <c r="AP36" s="43">
        <f>SUMIFS('Journal Entries'!$L:$L,'Journal Entries'!$K:$K,$C36,'Journal Entries'!$C:$C,"&lt;="&amp;AP$8,'Journal Entries'!$C:$C,"&gt;"&amp;AO$8)</f>
        <v>0</v>
      </c>
      <c r="AQ36" s="43">
        <f>SUMIFS('Journal Entries'!$L:$L,'Journal Entries'!$K:$K,$C36,'Journal Entries'!$C:$C,"&lt;="&amp;AQ$8,'Journal Entries'!$C:$C,"&gt;"&amp;AP$8)</f>
        <v>0</v>
      </c>
      <c r="AR36" s="43">
        <f>SUMIFS('Journal Entries'!$L:$L,'Journal Entries'!$K:$K,$C36,'Journal Entries'!$C:$C,"&lt;="&amp;AR$8,'Journal Entries'!$C:$C,"&gt;"&amp;AQ$8)</f>
        <v>0</v>
      </c>
      <c r="AS36" s="43">
        <f>SUMIFS('Journal Entries'!$L:$L,'Journal Entries'!$K:$K,$C36,'Journal Entries'!$C:$C,"&lt;="&amp;AS$8,'Journal Entries'!$C:$C,"&gt;"&amp;AR$8)</f>
        <v>0</v>
      </c>
      <c r="AT36" s="43">
        <f>SUMIFS('Journal Entries'!$L:$L,'Journal Entries'!$K:$K,$C36,'Journal Entries'!$C:$C,"&lt;="&amp;AT$8,'Journal Entries'!$C:$C,"&gt;"&amp;AS$8)</f>
        <v>0</v>
      </c>
      <c r="AU36" s="43">
        <f>SUMIFS('Journal Entries'!$L:$L,'Journal Entries'!$K:$K,$C36,'Journal Entries'!$C:$C,"&lt;="&amp;AU$8,'Journal Entries'!$C:$C,"&gt;"&amp;AT$8)</f>
        <v>0</v>
      </c>
      <c r="AV36" s="43">
        <f>SUMIFS('Journal Entries'!$L:$L,'Journal Entries'!$K:$K,$C36,'Journal Entries'!$C:$C,"&lt;="&amp;AV$8,'Journal Entries'!$C:$C,"&gt;"&amp;AU$8)</f>
        <v>0</v>
      </c>
      <c r="AW36" s="43">
        <f>SUMIFS('Journal Entries'!$L:$L,'Journal Entries'!$K:$K,$C36,'Journal Entries'!$C:$C,"&lt;="&amp;AW$8,'Journal Entries'!$C:$C,"&gt;"&amp;AV$8)</f>
        <v>0</v>
      </c>
      <c r="AX36" s="43">
        <f>SUMIFS('Journal Entries'!$L:$L,'Journal Entries'!$K:$K,$C36,'Journal Entries'!$C:$C,"&lt;="&amp;AX$8,'Journal Entries'!$C:$C,"&gt;"&amp;AW$8)</f>
        <v>0</v>
      </c>
      <c r="AY36" s="43">
        <f>SUMIFS('Journal Entries'!$L:$L,'Journal Entries'!$K:$K,$C36,'Journal Entries'!$C:$C,"&lt;="&amp;AY$8,'Journal Entries'!$C:$C,"&gt;"&amp;AX$8)</f>
        <v>0</v>
      </c>
      <c r="AZ36" s="43">
        <f>SUMIFS('Journal Entries'!$L:$L,'Journal Entries'!$K:$K,$C36,'Journal Entries'!$C:$C,"&lt;="&amp;AZ$8,'Journal Entries'!$C:$C,"&gt;"&amp;AY$8)</f>
        <v>0</v>
      </c>
      <c r="BA36" s="43">
        <f>SUMIFS('Journal Entries'!$L:$L,'Journal Entries'!$K:$K,$C36,'Journal Entries'!$C:$C,"&lt;="&amp;BA$8,'Journal Entries'!$C:$C,"&gt;"&amp;AZ$8)</f>
        <v>0</v>
      </c>
      <c r="BB36" s="43">
        <f>SUMIFS('Journal Entries'!$L:$L,'Journal Entries'!$K:$K,$C36,'Journal Entries'!$C:$C,"&lt;="&amp;BB$8,'Journal Entries'!$C:$C,"&gt;"&amp;BA$8)</f>
        <v>0</v>
      </c>
      <c r="BC36" s="43">
        <f>SUMIFS('Journal Entries'!$L:$L,'Journal Entries'!$K:$K,$C36,'Journal Entries'!$C:$C,"&lt;="&amp;BC$8,'Journal Entries'!$C:$C,"&gt;"&amp;BB$8)</f>
        <v>0</v>
      </c>
      <c r="BD36" s="43">
        <f>SUMIFS('Journal Entries'!$L:$L,'Journal Entries'!$K:$K,$C36,'Journal Entries'!$C:$C,"&lt;="&amp;BD$8,'Journal Entries'!$C:$C,"&gt;"&amp;BC$8)</f>
        <v>0</v>
      </c>
      <c r="BE36" s="43">
        <f>SUMIFS('Journal Entries'!$L:$L,'Journal Entries'!$K:$K,$C36,'Journal Entries'!$C:$C,"&lt;="&amp;BE$8,'Journal Entries'!$C:$C,"&gt;"&amp;BD$8)</f>
        <v>0</v>
      </c>
      <c r="BF36" s="43">
        <f>SUMIFS('Journal Entries'!$L:$L,'Journal Entries'!$K:$K,$C36,'Journal Entries'!$C:$C,"&lt;="&amp;BF$8,'Journal Entries'!$C:$C,"&gt;"&amp;BE$8)</f>
        <v>0</v>
      </c>
      <c r="BG36" s="43">
        <f>SUMIFS('Journal Entries'!$L:$L,'Journal Entries'!$K:$K,$C36,'Journal Entries'!$C:$C,"&lt;="&amp;BG$8,'Journal Entries'!$C:$C,"&gt;"&amp;BF$8)</f>
        <v>0</v>
      </c>
      <c r="BH36" s="43">
        <f>SUMIFS('Journal Entries'!$L:$L,'Journal Entries'!$K:$K,$C36,'Journal Entries'!$C:$C,"&lt;="&amp;BH$8,'Journal Entries'!$C:$C,"&gt;"&amp;BG$8)</f>
        <v>0</v>
      </c>
      <c r="BI36" s="43">
        <f>SUMIFS('Journal Entries'!$L:$L,'Journal Entries'!$K:$K,$C36,'Journal Entries'!$C:$C,"&lt;="&amp;BI$8,'Journal Entries'!$C:$C,"&gt;"&amp;BH$8)</f>
        <v>0</v>
      </c>
      <c r="BJ36" s="43">
        <f>SUMIFS('Journal Entries'!$L:$L,'Journal Entries'!$K:$K,$C36,'Journal Entries'!$C:$C,"&lt;="&amp;BJ$8,'Journal Entries'!$C:$C,"&gt;"&amp;BI$8)</f>
        <v>0</v>
      </c>
      <c r="BK36" s="43">
        <f>SUMIFS('Journal Entries'!$L:$L,'Journal Entries'!$K:$K,$C36,'Journal Entries'!$C:$C,"&lt;="&amp;BK$8,'Journal Entries'!$C:$C,"&gt;"&amp;BJ$8)</f>
        <v>0</v>
      </c>
      <c r="BL36" s="43">
        <f>SUMIFS('Journal Entries'!$L:$L,'Journal Entries'!$K:$K,$C36,'Journal Entries'!$C:$C,"&lt;="&amp;BL$8,'Journal Entries'!$C:$C,"&gt;"&amp;BK$8)</f>
        <v>0</v>
      </c>
    </row>
    <row r="37" spans="2:64" x14ac:dyDescent="0.25">
      <c r="B37" s="10">
        <v>2150</v>
      </c>
      <c r="C37" s="10" t="str">
        <f>VLOOKUP(B37,'Chart of Accounts'!$B$3:$C$95,2,0)</f>
        <v>Dividend payable</v>
      </c>
      <c r="D37" s="525">
        <f t="shared" si="2"/>
        <v>0</v>
      </c>
      <c r="E37" s="43">
        <f>SUMIFS('Journal Entries'!$L:$L,'Journal Entries'!$K:$K,$C37,'Journal Entries'!$C:$C,"&lt;="&amp;E$8,'Journal Entries'!$C:$C,"&gt;"&amp;D$8)</f>
        <v>0</v>
      </c>
      <c r="F37" s="43">
        <f>SUMIFS('Journal Entries'!$L:$L,'Journal Entries'!$K:$K,$C37,'Journal Entries'!$C:$C,"&lt;="&amp;F$8,'Journal Entries'!$C:$C,"&gt;"&amp;E$8)</f>
        <v>0</v>
      </c>
      <c r="G37" s="43">
        <f>SUMIFS('Journal Entries'!$L:$L,'Journal Entries'!$K:$K,$C37,'Journal Entries'!$C:$C,"&lt;="&amp;G$8,'Journal Entries'!$C:$C,"&gt;"&amp;F$8)</f>
        <v>0</v>
      </c>
      <c r="H37" s="43">
        <f>SUMIFS('Journal Entries'!$L:$L,'Journal Entries'!$K:$K,$C37,'Journal Entries'!$C:$C,"&lt;="&amp;H$8,'Journal Entries'!$C:$C,"&gt;"&amp;G$8)</f>
        <v>0</v>
      </c>
      <c r="I37" s="43">
        <f>SUMIFS('Journal Entries'!$L:$L,'Journal Entries'!$K:$K,$C37,'Journal Entries'!$C:$C,"&lt;="&amp;I$8,'Journal Entries'!$C:$C,"&gt;"&amp;H$8)</f>
        <v>0</v>
      </c>
      <c r="J37" s="43">
        <f>SUMIFS('Journal Entries'!$L:$L,'Journal Entries'!$K:$K,$C37,'Journal Entries'!$C:$C,"&lt;="&amp;J$8,'Journal Entries'!$C:$C,"&gt;"&amp;I$8)</f>
        <v>0</v>
      </c>
      <c r="K37" s="43">
        <f>SUMIFS('Journal Entries'!$L:$L,'Journal Entries'!$K:$K,$C37,'Journal Entries'!$C:$C,"&lt;="&amp;K$8,'Journal Entries'!$C:$C,"&gt;"&amp;J$8)</f>
        <v>0</v>
      </c>
      <c r="L37" s="43">
        <f>SUMIFS('Journal Entries'!$L:$L,'Journal Entries'!$K:$K,$C37,'Journal Entries'!$C:$C,"&lt;="&amp;L$8,'Journal Entries'!$C:$C,"&gt;"&amp;K$8)</f>
        <v>0</v>
      </c>
      <c r="M37" s="43">
        <f>SUMIFS('Journal Entries'!$L:$L,'Journal Entries'!$K:$K,$C37,'Journal Entries'!$C:$C,"&lt;="&amp;M$8,'Journal Entries'!$C:$C,"&gt;"&amp;L$8)</f>
        <v>0</v>
      </c>
      <c r="N37" s="43">
        <f>SUMIFS('Journal Entries'!$L:$L,'Journal Entries'!$K:$K,$C37,'Journal Entries'!$C:$C,"&lt;="&amp;N$8,'Journal Entries'!$C:$C,"&gt;"&amp;M$8)</f>
        <v>0</v>
      </c>
      <c r="O37" s="43">
        <f>SUMIFS('Journal Entries'!$L:$L,'Journal Entries'!$K:$K,$C37,'Journal Entries'!$C:$C,"&lt;="&amp;O$8,'Journal Entries'!$C:$C,"&gt;"&amp;N$8)</f>
        <v>0</v>
      </c>
      <c r="P37" s="43">
        <f>SUMIFS('Journal Entries'!$L:$L,'Journal Entries'!$K:$K,$C37,'Journal Entries'!$C:$C,"&lt;="&amp;P$8,'Journal Entries'!$C:$C,"&gt;"&amp;O$8)</f>
        <v>0</v>
      </c>
      <c r="Q37" s="43">
        <f>SUMIFS('Journal Entries'!$L:$L,'Journal Entries'!$K:$K,$C37,'Journal Entries'!$C:$C,"&lt;="&amp;Q$8,'Journal Entries'!$C:$C,"&gt;"&amp;P$8)</f>
        <v>0</v>
      </c>
      <c r="R37" s="43">
        <f>SUMIFS('Journal Entries'!$L:$L,'Journal Entries'!$K:$K,$C37,'Journal Entries'!$C:$C,"&lt;="&amp;R$8,'Journal Entries'!$C:$C,"&gt;"&amp;Q$8)</f>
        <v>0</v>
      </c>
      <c r="S37" s="43">
        <f>SUMIFS('Journal Entries'!$L:$L,'Journal Entries'!$K:$K,$C37,'Journal Entries'!$C:$C,"&lt;="&amp;S$8,'Journal Entries'!$C:$C,"&gt;"&amp;R$8)</f>
        <v>0</v>
      </c>
      <c r="T37" s="43">
        <f>SUMIFS('Journal Entries'!$L:$L,'Journal Entries'!$K:$K,$C37,'Journal Entries'!$C:$C,"&lt;="&amp;T$8,'Journal Entries'!$C:$C,"&gt;"&amp;S$8)</f>
        <v>0</v>
      </c>
      <c r="U37" s="43">
        <f>SUMIFS('Journal Entries'!$L:$L,'Journal Entries'!$K:$K,$C37,'Journal Entries'!$C:$C,"&lt;="&amp;U$8,'Journal Entries'!$C:$C,"&gt;"&amp;T$8)</f>
        <v>0</v>
      </c>
      <c r="V37" s="43">
        <f>SUMIFS('Journal Entries'!$L:$L,'Journal Entries'!$K:$K,$C37,'Journal Entries'!$C:$C,"&lt;="&amp;V$8,'Journal Entries'!$C:$C,"&gt;"&amp;U$8)</f>
        <v>0</v>
      </c>
      <c r="W37" s="43">
        <f>SUMIFS('Journal Entries'!$L:$L,'Journal Entries'!$K:$K,$C37,'Journal Entries'!$C:$C,"&lt;="&amp;W$8,'Journal Entries'!$C:$C,"&gt;"&amp;V$8)</f>
        <v>0</v>
      </c>
      <c r="X37" s="43">
        <f>SUMIFS('Journal Entries'!$L:$L,'Journal Entries'!$K:$K,$C37,'Journal Entries'!$C:$C,"&lt;="&amp;X$8,'Journal Entries'!$C:$C,"&gt;"&amp;W$8)</f>
        <v>0</v>
      </c>
      <c r="Y37" s="43">
        <f>SUMIFS('Journal Entries'!$L:$L,'Journal Entries'!$K:$K,$C37,'Journal Entries'!$C:$C,"&lt;="&amp;Y$8,'Journal Entries'!$C:$C,"&gt;"&amp;X$8)</f>
        <v>0</v>
      </c>
      <c r="Z37" s="43">
        <f>SUMIFS('Journal Entries'!$L:$L,'Journal Entries'!$K:$K,$C37,'Journal Entries'!$C:$C,"&lt;="&amp;Z$8,'Journal Entries'!$C:$C,"&gt;"&amp;Y$8)</f>
        <v>0</v>
      </c>
      <c r="AA37" s="43">
        <f>SUMIFS('Journal Entries'!$L:$L,'Journal Entries'!$K:$K,$C37,'Journal Entries'!$C:$C,"&lt;="&amp;AA$8,'Journal Entries'!$C:$C,"&gt;"&amp;Z$8)</f>
        <v>0</v>
      </c>
      <c r="AB37" s="43">
        <f>SUMIFS('Journal Entries'!$L:$L,'Journal Entries'!$K:$K,$C37,'Journal Entries'!$C:$C,"&lt;="&amp;AB$8,'Journal Entries'!$C:$C,"&gt;"&amp;AA$8)</f>
        <v>0</v>
      </c>
      <c r="AC37" s="43">
        <f>SUMIFS('Journal Entries'!$L:$L,'Journal Entries'!$K:$K,$C37,'Journal Entries'!$C:$C,"&lt;="&amp;AC$8,'Journal Entries'!$C:$C,"&gt;"&amp;AB$8)</f>
        <v>0</v>
      </c>
      <c r="AD37" s="43">
        <f>SUMIFS('Journal Entries'!$L:$L,'Journal Entries'!$K:$K,$C37,'Journal Entries'!$C:$C,"&lt;="&amp;AD$8,'Journal Entries'!$C:$C,"&gt;"&amp;AC$8)</f>
        <v>0</v>
      </c>
      <c r="AE37" s="43">
        <f>SUMIFS('Journal Entries'!$L:$L,'Journal Entries'!$K:$K,$C37,'Journal Entries'!$C:$C,"&lt;="&amp;AE$8,'Journal Entries'!$C:$C,"&gt;"&amp;AD$8)</f>
        <v>0</v>
      </c>
      <c r="AF37" s="43">
        <f>SUMIFS('Journal Entries'!$L:$L,'Journal Entries'!$K:$K,$C37,'Journal Entries'!$C:$C,"&lt;="&amp;AF$8,'Journal Entries'!$C:$C,"&gt;"&amp;AE$8)</f>
        <v>0</v>
      </c>
      <c r="AG37" s="43">
        <f>SUMIFS('Journal Entries'!$L:$L,'Journal Entries'!$K:$K,$C37,'Journal Entries'!$C:$C,"&lt;="&amp;AG$8,'Journal Entries'!$C:$C,"&gt;"&amp;AF$8)</f>
        <v>0</v>
      </c>
      <c r="AH37" s="43">
        <f>SUMIFS('Journal Entries'!$L:$L,'Journal Entries'!$K:$K,$C37,'Journal Entries'!$C:$C,"&lt;="&amp;AH$8,'Journal Entries'!$C:$C,"&gt;"&amp;AG$8)</f>
        <v>0</v>
      </c>
      <c r="AI37" s="43">
        <f>SUMIFS('Journal Entries'!$L:$L,'Journal Entries'!$K:$K,$C37,'Journal Entries'!$C:$C,"&lt;="&amp;AI$8,'Journal Entries'!$C:$C,"&gt;"&amp;AH$8)</f>
        <v>0</v>
      </c>
      <c r="AJ37" s="43">
        <f>SUMIFS('Journal Entries'!$L:$L,'Journal Entries'!$K:$K,$C37,'Journal Entries'!$C:$C,"&lt;="&amp;AJ$8,'Journal Entries'!$C:$C,"&gt;"&amp;AI$8)</f>
        <v>0</v>
      </c>
      <c r="AK37" s="43">
        <f>SUMIFS('Journal Entries'!$L:$L,'Journal Entries'!$K:$K,$C37,'Journal Entries'!$C:$C,"&lt;="&amp;AK$8,'Journal Entries'!$C:$C,"&gt;"&amp;AJ$8)</f>
        <v>0</v>
      </c>
      <c r="AL37" s="43">
        <f>SUMIFS('Journal Entries'!$L:$L,'Journal Entries'!$K:$K,$C37,'Journal Entries'!$C:$C,"&lt;="&amp;AL$8,'Journal Entries'!$C:$C,"&gt;"&amp;AK$8)</f>
        <v>0</v>
      </c>
      <c r="AM37" s="43">
        <f>SUMIFS('Journal Entries'!$L:$L,'Journal Entries'!$K:$K,$C37,'Journal Entries'!$C:$C,"&lt;="&amp;AM$8,'Journal Entries'!$C:$C,"&gt;"&amp;AL$8)</f>
        <v>0</v>
      </c>
      <c r="AN37" s="43">
        <f>SUMIFS('Journal Entries'!$L:$L,'Journal Entries'!$K:$K,$C37,'Journal Entries'!$C:$C,"&lt;="&amp;AN$8,'Journal Entries'!$C:$C,"&gt;"&amp;AM$8)</f>
        <v>0</v>
      </c>
      <c r="AO37" s="43">
        <f>SUMIFS('Journal Entries'!$L:$L,'Journal Entries'!$K:$K,$C37,'Journal Entries'!$C:$C,"&lt;="&amp;AO$8,'Journal Entries'!$C:$C,"&gt;"&amp;AN$8)</f>
        <v>0</v>
      </c>
      <c r="AP37" s="43">
        <f>SUMIFS('Journal Entries'!$L:$L,'Journal Entries'!$K:$K,$C37,'Journal Entries'!$C:$C,"&lt;="&amp;AP$8,'Journal Entries'!$C:$C,"&gt;"&amp;AO$8)</f>
        <v>0</v>
      </c>
      <c r="AQ37" s="43">
        <f>SUMIFS('Journal Entries'!$L:$L,'Journal Entries'!$K:$K,$C37,'Journal Entries'!$C:$C,"&lt;="&amp;AQ$8,'Journal Entries'!$C:$C,"&gt;"&amp;AP$8)</f>
        <v>0</v>
      </c>
      <c r="AR37" s="43">
        <f>SUMIFS('Journal Entries'!$L:$L,'Journal Entries'!$K:$K,$C37,'Journal Entries'!$C:$C,"&lt;="&amp;AR$8,'Journal Entries'!$C:$C,"&gt;"&amp;AQ$8)</f>
        <v>0</v>
      </c>
      <c r="AS37" s="43">
        <f>SUMIFS('Journal Entries'!$L:$L,'Journal Entries'!$K:$K,$C37,'Journal Entries'!$C:$C,"&lt;="&amp;AS$8,'Journal Entries'!$C:$C,"&gt;"&amp;AR$8)</f>
        <v>0</v>
      </c>
      <c r="AT37" s="43">
        <f>SUMIFS('Journal Entries'!$L:$L,'Journal Entries'!$K:$K,$C37,'Journal Entries'!$C:$C,"&lt;="&amp;AT$8,'Journal Entries'!$C:$C,"&gt;"&amp;AS$8)</f>
        <v>0</v>
      </c>
      <c r="AU37" s="43">
        <f>SUMIFS('Journal Entries'!$L:$L,'Journal Entries'!$K:$K,$C37,'Journal Entries'!$C:$C,"&lt;="&amp;AU$8,'Journal Entries'!$C:$C,"&gt;"&amp;AT$8)</f>
        <v>0</v>
      </c>
      <c r="AV37" s="43">
        <f>SUMIFS('Journal Entries'!$L:$L,'Journal Entries'!$K:$K,$C37,'Journal Entries'!$C:$C,"&lt;="&amp;AV$8,'Journal Entries'!$C:$C,"&gt;"&amp;AU$8)</f>
        <v>0</v>
      </c>
      <c r="AW37" s="43">
        <f>SUMIFS('Journal Entries'!$L:$L,'Journal Entries'!$K:$K,$C37,'Journal Entries'!$C:$C,"&lt;="&amp;AW$8,'Journal Entries'!$C:$C,"&gt;"&amp;AV$8)</f>
        <v>0</v>
      </c>
      <c r="AX37" s="43">
        <f>SUMIFS('Journal Entries'!$L:$L,'Journal Entries'!$K:$K,$C37,'Journal Entries'!$C:$C,"&lt;="&amp;AX$8,'Journal Entries'!$C:$C,"&gt;"&amp;AW$8)</f>
        <v>0</v>
      </c>
      <c r="AY37" s="43">
        <f>SUMIFS('Journal Entries'!$L:$L,'Journal Entries'!$K:$K,$C37,'Journal Entries'!$C:$C,"&lt;="&amp;AY$8,'Journal Entries'!$C:$C,"&gt;"&amp;AX$8)</f>
        <v>0</v>
      </c>
      <c r="AZ37" s="43">
        <f>SUMIFS('Journal Entries'!$L:$L,'Journal Entries'!$K:$K,$C37,'Journal Entries'!$C:$C,"&lt;="&amp;AZ$8,'Journal Entries'!$C:$C,"&gt;"&amp;AY$8)</f>
        <v>0</v>
      </c>
      <c r="BA37" s="43">
        <f>SUMIFS('Journal Entries'!$L:$L,'Journal Entries'!$K:$K,$C37,'Journal Entries'!$C:$C,"&lt;="&amp;BA$8,'Journal Entries'!$C:$C,"&gt;"&amp;AZ$8)</f>
        <v>0</v>
      </c>
      <c r="BB37" s="43">
        <f>SUMIFS('Journal Entries'!$L:$L,'Journal Entries'!$K:$K,$C37,'Journal Entries'!$C:$C,"&lt;="&amp;BB$8,'Journal Entries'!$C:$C,"&gt;"&amp;BA$8)</f>
        <v>0</v>
      </c>
      <c r="BC37" s="43">
        <f>SUMIFS('Journal Entries'!$L:$L,'Journal Entries'!$K:$K,$C37,'Journal Entries'!$C:$C,"&lt;="&amp;BC$8,'Journal Entries'!$C:$C,"&gt;"&amp;BB$8)</f>
        <v>0</v>
      </c>
      <c r="BD37" s="43">
        <f>SUMIFS('Journal Entries'!$L:$L,'Journal Entries'!$K:$K,$C37,'Journal Entries'!$C:$C,"&lt;="&amp;BD$8,'Journal Entries'!$C:$C,"&gt;"&amp;BC$8)</f>
        <v>0</v>
      </c>
      <c r="BE37" s="43">
        <f>SUMIFS('Journal Entries'!$L:$L,'Journal Entries'!$K:$K,$C37,'Journal Entries'!$C:$C,"&lt;="&amp;BE$8,'Journal Entries'!$C:$C,"&gt;"&amp;BD$8)</f>
        <v>0</v>
      </c>
      <c r="BF37" s="43">
        <f>SUMIFS('Journal Entries'!$L:$L,'Journal Entries'!$K:$K,$C37,'Journal Entries'!$C:$C,"&lt;="&amp;BF$8,'Journal Entries'!$C:$C,"&gt;"&amp;BE$8)</f>
        <v>0</v>
      </c>
      <c r="BG37" s="43">
        <f>SUMIFS('Journal Entries'!$L:$L,'Journal Entries'!$K:$K,$C37,'Journal Entries'!$C:$C,"&lt;="&amp;BG$8,'Journal Entries'!$C:$C,"&gt;"&amp;BF$8)</f>
        <v>0</v>
      </c>
      <c r="BH37" s="43">
        <f>SUMIFS('Journal Entries'!$L:$L,'Journal Entries'!$K:$K,$C37,'Journal Entries'!$C:$C,"&lt;="&amp;BH$8,'Journal Entries'!$C:$C,"&gt;"&amp;BG$8)</f>
        <v>0</v>
      </c>
      <c r="BI37" s="43">
        <f>SUMIFS('Journal Entries'!$L:$L,'Journal Entries'!$K:$K,$C37,'Journal Entries'!$C:$C,"&lt;="&amp;BI$8,'Journal Entries'!$C:$C,"&gt;"&amp;BH$8)</f>
        <v>0</v>
      </c>
      <c r="BJ37" s="43">
        <f>SUMIFS('Journal Entries'!$L:$L,'Journal Entries'!$K:$K,$C37,'Journal Entries'!$C:$C,"&lt;="&amp;BJ$8,'Journal Entries'!$C:$C,"&gt;"&amp;BI$8)</f>
        <v>0</v>
      </c>
      <c r="BK37" s="43">
        <f>SUMIFS('Journal Entries'!$L:$L,'Journal Entries'!$K:$K,$C37,'Journal Entries'!$C:$C,"&lt;="&amp;BK$8,'Journal Entries'!$C:$C,"&gt;"&amp;BJ$8)</f>
        <v>0</v>
      </c>
      <c r="BL37" s="43">
        <f>SUMIFS('Journal Entries'!$L:$L,'Journal Entries'!$K:$K,$C37,'Journal Entries'!$C:$C,"&lt;="&amp;BL$8,'Journal Entries'!$C:$C,"&gt;"&amp;BK$8)</f>
        <v>0</v>
      </c>
    </row>
    <row r="38" spans="2:64" x14ac:dyDescent="0.25">
      <c r="B38" s="10">
        <v>2160</v>
      </c>
      <c r="C38" s="10" t="str">
        <f>VLOOKUP(B38,'Chart of Accounts'!$B$3:$C$95,2,0)</f>
        <v>Other professional fee payable</v>
      </c>
      <c r="D38" s="525">
        <f t="shared" si="2"/>
        <v>0</v>
      </c>
      <c r="E38" s="43">
        <f>SUMIFS('Journal Entries'!$L:$L,'Journal Entries'!$K:$K,$C38,'Journal Entries'!$C:$C,"&lt;="&amp;E$8,'Journal Entries'!$C:$C,"&gt;"&amp;D$8)</f>
        <v>0</v>
      </c>
      <c r="F38" s="43">
        <f>SUMIFS('Journal Entries'!$L:$L,'Journal Entries'!$K:$K,$C38,'Journal Entries'!$C:$C,"&lt;="&amp;F$8,'Journal Entries'!$C:$C,"&gt;"&amp;E$8)</f>
        <v>0</v>
      </c>
      <c r="G38" s="43">
        <f>SUMIFS('Journal Entries'!$L:$L,'Journal Entries'!$K:$K,$C38,'Journal Entries'!$C:$C,"&lt;="&amp;G$8,'Journal Entries'!$C:$C,"&gt;"&amp;F$8)</f>
        <v>0</v>
      </c>
      <c r="H38" s="43">
        <f>SUMIFS('Journal Entries'!$L:$L,'Journal Entries'!$K:$K,$C38,'Journal Entries'!$C:$C,"&lt;="&amp;H$8,'Journal Entries'!$C:$C,"&gt;"&amp;G$8)</f>
        <v>0</v>
      </c>
      <c r="I38" s="43">
        <f>SUMIFS('Journal Entries'!$L:$L,'Journal Entries'!$K:$K,$C38,'Journal Entries'!$C:$C,"&lt;="&amp;I$8,'Journal Entries'!$C:$C,"&gt;"&amp;H$8)</f>
        <v>0</v>
      </c>
      <c r="J38" s="43">
        <f>SUMIFS('Journal Entries'!$L:$L,'Journal Entries'!$K:$K,$C38,'Journal Entries'!$C:$C,"&lt;="&amp;J$8,'Journal Entries'!$C:$C,"&gt;"&amp;I$8)</f>
        <v>0</v>
      </c>
      <c r="K38" s="43">
        <f>SUMIFS('Journal Entries'!$L:$L,'Journal Entries'!$K:$K,$C38,'Journal Entries'!$C:$C,"&lt;="&amp;K$8,'Journal Entries'!$C:$C,"&gt;"&amp;J$8)</f>
        <v>0</v>
      </c>
      <c r="L38" s="43">
        <f>SUMIFS('Journal Entries'!$L:$L,'Journal Entries'!$K:$K,$C38,'Journal Entries'!$C:$C,"&lt;="&amp;L$8,'Journal Entries'!$C:$C,"&gt;"&amp;K$8)</f>
        <v>0</v>
      </c>
      <c r="M38" s="43">
        <f>SUMIFS('Journal Entries'!$L:$L,'Journal Entries'!$K:$K,$C38,'Journal Entries'!$C:$C,"&lt;="&amp;M$8,'Journal Entries'!$C:$C,"&gt;"&amp;L$8)</f>
        <v>0</v>
      </c>
      <c r="N38" s="43">
        <f>SUMIFS('Journal Entries'!$L:$L,'Journal Entries'!$K:$K,$C38,'Journal Entries'!$C:$C,"&lt;="&amp;N$8,'Journal Entries'!$C:$C,"&gt;"&amp;M$8)</f>
        <v>0</v>
      </c>
      <c r="O38" s="43">
        <f>SUMIFS('Journal Entries'!$L:$L,'Journal Entries'!$K:$K,$C38,'Journal Entries'!$C:$C,"&lt;="&amp;O$8,'Journal Entries'!$C:$C,"&gt;"&amp;N$8)</f>
        <v>0</v>
      </c>
      <c r="P38" s="43">
        <f>SUMIFS('Journal Entries'!$L:$L,'Journal Entries'!$K:$K,$C38,'Journal Entries'!$C:$C,"&lt;="&amp;P$8,'Journal Entries'!$C:$C,"&gt;"&amp;O$8)</f>
        <v>0</v>
      </c>
      <c r="Q38" s="43">
        <f>SUMIFS('Journal Entries'!$L:$L,'Journal Entries'!$K:$K,$C38,'Journal Entries'!$C:$C,"&lt;="&amp;Q$8,'Journal Entries'!$C:$C,"&gt;"&amp;P$8)</f>
        <v>0</v>
      </c>
      <c r="R38" s="43">
        <f>SUMIFS('Journal Entries'!$L:$L,'Journal Entries'!$K:$K,$C38,'Journal Entries'!$C:$C,"&lt;="&amp;R$8,'Journal Entries'!$C:$C,"&gt;"&amp;Q$8)</f>
        <v>0</v>
      </c>
      <c r="S38" s="43">
        <f>SUMIFS('Journal Entries'!$L:$L,'Journal Entries'!$K:$K,$C38,'Journal Entries'!$C:$C,"&lt;="&amp;S$8,'Journal Entries'!$C:$C,"&gt;"&amp;R$8)</f>
        <v>0</v>
      </c>
      <c r="T38" s="43">
        <f>SUMIFS('Journal Entries'!$L:$L,'Journal Entries'!$K:$K,$C38,'Journal Entries'!$C:$C,"&lt;="&amp;T$8,'Journal Entries'!$C:$C,"&gt;"&amp;S$8)</f>
        <v>0</v>
      </c>
      <c r="U38" s="43">
        <f>SUMIFS('Journal Entries'!$L:$L,'Journal Entries'!$K:$K,$C38,'Journal Entries'!$C:$C,"&lt;="&amp;U$8,'Journal Entries'!$C:$C,"&gt;"&amp;T$8)</f>
        <v>0</v>
      </c>
      <c r="V38" s="43">
        <f>SUMIFS('Journal Entries'!$L:$L,'Journal Entries'!$K:$K,$C38,'Journal Entries'!$C:$C,"&lt;="&amp;V$8,'Journal Entries'!$C:$C,"&gt;"&amp;U$8)</f>
        <v>0</v>
      </c>
      <c r="W38" s="43">
        <f>SUMIFS('Journal Entries'!$L:$L,'Journal Entries'!$K:$K,$C38,'Journal Entries'!$C:$C,"&lt;="&amp;W$8,'Journal Entries'!$C:$C,"&gt;"&amp;V$8)</f>
        <v>0</v>
      </c>
      <c r="X38" s="43">
        <f>SUMIFS('Journal Entries'!$L:$L,'Journal Entries'!$K:$K,$C38,'Journal Entries'!$C:$C,"&lt;="&amp;X$8,'Journal Entries'!$C:$C,"&gt;"&amp;W$8)</f>
        <v>0</v>
      </c>
      <c r="Y38" s="43">
        <f>SUMIFS('Journal Entries'!$L:$L,'Journal Entries'!$K:$K,$C38,'Journal Entries'!$C:$C,"&lt;="&amp;Y$8,'Journal Entries'!$C:$C,"&gt;"&amp;X$8)</f>
        <v>0</v>
      </c>
      <c r="Z38" s="43">
        <f>SUMIFS('Journal Entries'!$L:$L,'Journal Entries'!$K:$K,$C38,'Journal Entries'!$C:$C,"&lt;="&amp;Z$8,'Journal Entries'!$C:$C,"&gt;"&amp;Y$8)</f>
        <v>0</v>
      </c>
      <c r="AA38" s="43">
        <f>SUMIFS('Journal Entries'!$L:$L,'Journal Entries'!$K:$K,$C38,'Journal Entries'!$C:$C,"&lt;="&amp;AA$8,'Journal Entries'!$C:$C,"&gt;"&amp;Z$8)</f>
        <v>0</v>
      </c>
      <c r="AB38" s="43">
        <f>SUMIFS('Journal Entries'!$L:$L,'Journal Entries'!$K:$K,$C38,'Journal Entries'!$C:$C,"&lt;="&amp;AB$8,'Journal Entries'!$C:$C,"&gt;"&amp;AA$8)</f>
        <v>0</v>
      </c>
      <c r="AC38" s="43">
        <f>SUMIFS('Journal Entries'!$L:$L,'Journal Entries'!$K:$K,$C38,'Journal Entries'!$C:$C,"&lt;="&amp;AC$8,'Journal Entries'!$C:$C,"&gt;"&amp;AB$8)</f>
        <v>0</v>
      </c>
      <c r="AD38" s="43">
        <f>SUMIFS('Journal Entries'!$L:$L,'Journal Entries'!$K:$K,$C38,'Journal Entries'!$C:$C,"&lt;="&amp;AD$8,'Journal Entries'!$C:$C,"&gt;"&amp;AC$8)</f>
        <v>0</v>
      </c>
      <c r="AE38" s="43">
        <f>SUMIFS('Journal Entries'!$L:$L,'Journal Entries'!$K:$K,$C38,'Journal Entries'!$C:$C,"&lt;="&amp;AE$8,'Journal Entries'!$C:$C,"&gt;"&amp;AD$8)</f>
        <v>0</v>
      </c>
      <c r="AF38" s="43">
        <f>SUMIFS('Journal Entries'!$L:$L,'Journal Entries'!$K:$K,$C38,'Journal Entries'!$C:$C,"&lt;="&amp;AF$8,'Journal Entries'!$C:$C,"&gt;"&amp;AE$8)</f>
        <v>0</v>
      </c>
      <c r="AG38" s="43">
        <f>SUMIFS('Journal Entries'!$L:$L,'Journal Entries'!$K:$K,$C38,'Journal Entries'!$C:$C,"&lt;="&amp;AG$8,'Journal Entries'!$C:$C,"&gt;"&amp;AF$8)</f>
        <v>0</v>
      </c>
      <c r="AH38" s="43">
        <f>SUMIFS('Journal Entries'!$L:$L,'Journal Entries'!$K:$K,$C38,'Journal Entries'!$C:$C,"&lt;="&amp;AH$8,'Journal Entries'!$C:$C,"&gt;"&amp;AG$8)</f>
        <v>0</v>
      </c>
      <c r="AI38" s="43">
        <f>SUMIFS('Journal Entries'!$L:$L,'Journal Entries'!$K:$K,$C38,'Journal Entries'!$C:$C,"&lt;="&amp;AI$8,'Journal Entries'!$C:$C,"&gt;"&amp;AH$8)</f>
        <v>0</v>
      </c>
      <c r="AJ38" s="43">
        <f>SUMIFS('Journal Entries'!$L:$L,'Journal Entries'!$K:$K,$C38,'Journal Entries'!$C:$C,"&lt;="&amp;AJ$8,'Journal Entries'!$C:$C,"&gt;"&amp;AI$8)</f>
        <v>0</v>
      </c>
      <c r="AK38" s="43">
        <f>SUMIFS('Journal Entries'!$L:$L,'Journal Entries'!$K:$K,$C38,'Journal Entries'!$C:$C,"&lt;="&amp;AK$8,'Journal Entries'!$C:$C,"&gt;"&amp;AJ$8)</f>
        <v>0</v>
      </c>
      <c r="AL38" s="43">
        <f>SUMIFS('Journal Entries'!$L:$L,'Journal Entries'!$K:$K,$C38,'Journal Entries'!$C:$C,"&lt;="&amp;AL$8,'Journal Entries'!$C:$C,"&gt;"&amp;AK$8)</f>
        <v>0</v>
      </c>
      <c r="AM38" s="43">
        <f>SUMIFS('Journal Entries'!$L:$L,'Journal Entries'!$K:$K,$C38,'Journal Entries'!$C:$C,"&lt;="&amp;AM$8,'Journal Entries'!$C:$C,"&gt;"&amp;AL$8)</f>
        <v>0</v>
      </c>
      <c r="AN38" s="43">
        <f>SUMIFS('Journal Entries'!$L:$L,'Journal Entries'!$K:$K,$C38,'Journal Entries'!$C:$C,"&lt;="&amp;AN$8,'Journal Entries'!$C:$C,"&gt;"&amp;AM$8)</f>
        <v>0</v>
      </c>
      <c r="AO38" s="43">
        <f>SUMIFS('Journal Entries'!$L:$L,'Journal Entries'!$K:$K,$C38,'Journal Entries'!$C:$C,"&lt;="&amp;AO$8,'Journal Entries'!$C:$C,"&gt;"&amp;AN$8)</f>
        <v>0</v>
      </c>
      <c r="AP38" s="43">
        <f>SUMIFS('Journal Entries'!$L:$L,'Journal Entries'!$K:$K,$C38,'Journal Entries'!$C:$C,"&lt;="&amp;AP$8,'Journal Entries'!$C:$C,"&gt;"&amp;AO$8)</f>
        <v>0</v>
      </c>
      <c r="AQ38" s="43">
        <f>SUMIFS('Journal Entries'!$L:$L,'Journal Entries'!$K:$K,$C38,'Journal Entries'!$C:$C,"&lt;="&amp;AQ$8,'Journal Entries'!$C:$C,"&gt;"&amp;AP$8)</f>
        <v>0</v>
      </c>
      <c r="AR38" s="43">
        <f>SUMIFS('Journal Entries'!$L:$L,'Journal Entries'!$K:$K,$C38,'Journal Entries'!$C:$C,"&lt;="&amp;AR$8,'Journal Entries'!$C:$C,"&gt;"&amp;AQ$8)</f>
        <v>0</v>
      </c>
      <c r="AS38" s="43">
        <f>SUMIFS('Journal Entries'!$L:$L,'Journal Entries'!$K:$K,$C38,'Journal Entries'!$C:$C,"&lt;="&amp;AS$8,'Journal Entries'!$C:$C,"&gt;"&amp;AR$8)</f>
        <v>0</v>
      </c>
      <c r="AT38" s="43">
        <f>SUMIFS('Journal Entries'!$L:$L,'Journal Entries'!$K:$K,$C38,'Journal Entries'!$C:$C,"&lt;="&amp;AT$8,'Journal Entries'!$C:$C,"&gt;"&amp;AS$8)</f>
        <v>0</v>
      </c>
      <c r="AU38" s="43">
        <f>SUMIFS('Journal Entries'!$L:$L,'Journal Entries'!$K:$K,$C38,'Journal Entries'!$C:$C,"&lt;="&amp;AU$8,'Journal Entries'!$C:$C,"&gt;"&amp;AT$8)</f>
        <v>0</v>
      </c>
      <c r="AV38" s="43">
        <f>SUMIFS('Journal Entries'!$L:$L,'Journal Entries'!$K:$K,$C38,'Journal Entries'!$C:$C,"&lt;="&amp;AV$8,'Journal Entries'!$C:$C,"&gt;"&amp;AU$8)</f>
        <v>0</v>
      </c>
      <c r="AW38" s="43">
        <f>SUMIFS('Journal Entries'!$L:$L,'Journal Entries'!$K:$K,$C38,'Journal Entries'!$C:$C,"&lt;="&amp;AW$8,'Journal Entries'!$C:$C,"&gt;"&amp;AV$8)</f>
        <v>0</v>
      </c>
      <c r="AX38" s="43">
        <f>SUMIFS('Journal Entries'!$L:$L,'Journal Entries'!$K:$K,$C38,'Journal Entries'!$C:$C,"&lt;="&amp;AX$8,'Journal Entries'!$C:$C,"&gt;"&amp;AW$8)</f>
        <v>0</v>
      </c>
      <c r="AY38" s="43">
        <f>SUMIFS('Journal Entries'!$L:$L,'Journal Entries'!$K:$K,$C38,'Journal Entries'!$C:$C,"&lt;="&amp;AY$8,'Journal Entries'!$C:$C,"&gt;"&amp;AX$8)</f>
        <v>0</v>
      </c>
      <c r="AZ38" s="43">
        <f>SUMIFS('Journal Entries'!$L:$L,'Journal Entries'!$K:$K,$C38,'Journal Entries'!$C:$C,"&lt;="&amp;AZ$8,'Journal Entries'!$C:$C,"&gt;"&amp;AY$8)</f>
        <v>0</v>
      </c>
      <c r="BA38" s="43">
        <f>SUMIFS('Journal Entries'!$L:$L,'Journal Entries'!$K:$K,$C38,'Journal Entries'!$C:$C,"&lt;="&amp;BA$8,'Journal Entries'!$C:$C,"&gt;"&amp;AZ$8)</f>
        <v>0</v>
      </c>
      <c r="BB38" s="43">
        <f>SUMIFS('Journal Entries'!$L:$L,'Journal Entries'!$K:$K,$C38,'Journal Entries'!$C:$C,"&lt;="&amp;BB$8,'Journal Entries'!$C:$C,"&gt;"&amp;BA$8)</f>
        <v>0</v>
      </c>
      <c r="BC38" s="43">
        <f>SUMIFS('Journal Entries'!$L:$L,'Journal Entries'!$K:$K,$C38,'Journal Entries'!$C:$C,"&lt;="&amp;BC$8,'Journal Entries'!$C:$C,"&gt;"&amp;BB$8)</f>
        <v>0</v>
      </c>
      <c r="BD38" s="43">
        <f>SUMIFS('Journal Entries'!$L:$L,'Journal Entries'!$K:$K,$C38,'Journal Entries'!$C:$C,"&lt;="&amp;BD$8,'Journal Entries'!$C:$C,"&gt;"&amp;BC$8)</f>
        <v>0</v>
      </c>
      <c r="BE38" s="43">
        <f>SUMIFS('Journal Entries'!$L:$L,'Journal Entries'!$K:$K,$C38,'Journal Entries'!$C:$C,"&lt;="&amp;BE$8,'Journal Entries'!$C:$C,"&gt;"&amp;BD$8)</f>
        <v>0</v>
      </c>
      <c r="BF38" s="43">
        <f>SUMIFS('Journal Entries'!$L:$L,'Journal Entries'!$K:$K,$C38,'Journal Entries'!$C:$C,"&lt;="&amp;BF$8,'Journal Entries'!$C:$C,"&gt;"&amp;BE$8)</f>
        <v>0</v>
      </c>
      <c r="BG38" s="43">
        <f>SUMIFS('Journal Entries'!$L:$L,'Journal Entries'!$K:$K,$C38,'Journal Entries'!$C:$C,"&lt;="&amp;BG$8,'Journal Entries'!$C:$C,"&gt;"&amp;BF$8)</f>
        <v>0</v>
      </c>
      <c r="BH38" s="43">
        <f>SUMIFS('Journal Entries'!$L:$L,'Journal Entries'!$K:$K,$C38,'Journal Entries'!$C:$C,"&lt;="&amp;BH$8,'Journal Entries'!$C:$C,"&gt;"&amp;BG$8)</f>
        <v>0</v>
      </c>
      <c r="BI38" s="43">
        <f>SUMIFS('Journal Entries'!$L:$L,'Journal Entries'!$K:$K,$C38,'Journal Entries'!$C:$C,"&lt;="&amp;BI$8,'Journal Entries'!$C:$C,"&gt;"&amp;BH$8)</f>
        <v>0</v>
      </c>
      <c r="BJ38" s="43">
        <f>SUMIFS('Journal Entries'!$L:$L,'Journal Entries'!$K:$K,$C38,'Journal Entries'!$C:$C,"&lt;="&amp;BJ$8,'Journal Entries'!$C:$C,"&gt;"&amp;BI$8)</f>
        <v>0</v>
      </c>
      <c r="BK38" s="43">
        <f>SUMIFS('Journal Entries'!$L:$L,'Journal Entries'!$K:$K,$C38,'Journal Entries'!$C:$C,"&lt;="&amp;BK$8,'Journal Entries'!$C:$C,"&gt;"&amp;BJ$8)</f>
        <v>0</v>
      </c>
      <c r="BL38" s="43">
        <f>SUMIFS('Journal Entries'!$L:$L,'Journal Entries'!$K:$K,$C38,'Journal Entries'!$C:$C,"&lt;="&amp;BL$8,'Journal Entries'!$C:$C,"&gt;"&amp;BK$8)</f>
        <v>0</v>
      </c>
    </row>
    <row r="39" spans="2:64" x14ac:dyDescent="0.25">
      <c r="B39" s="10">
        <v>2170</v>
      </c>
      <c r="C39" s="10" t="str">
        <f>VLOOKUP(B39,'Chart of Accounts'!$B$3:$C$95,2,0)</f>
        <v>Redemptions payable</v>
      </c>
      <c r="D39" s="525">
        <f t="shared" si="2"/>
        <v>0</v>
      </c>
      <c r="E39" s="43">
        <f>SUMIFS('Journal Entries'!$L:$L,'Journal Entries'!$K:$K,$C39,'Journal Entries'!$C:$C,"&lt;="&amp;E$8,'Journal Entries'!$C:$C,"&gt;"&amp;D$8)</f>
        <v>0</v>
      </c>
      <c r="F39" s="43">
        <f>SUMIFS('Journal Entries'!$L:$L,'Journal Entries'!$K:$K,$C39,'Journal Entries'!$C:$C,"&lt;="&amp;F$8,'Journal Entries'!$C:$C,"&gt;"&amp;E$8)</f>
        <v>0</v>
      </c>
      <c r="G39" s="43">
        <f>SUMIFS('Journal Entries'!$L:$L,'Journal Entries'!$K:$K,$C39,'Journal Entries'!$C:$C,"&lt;="&amp;G$8,'Journal Entries'!$C:$C,"&gt;"&amp;F$8)</f>
        <v>0</v>
      </c>
      <c r="H39" s="43">
        <f>SUMIFS('Journal Entries'!$L:$L,'Journal Entries'!$K:$K,$C39,'Journal Entries'!$C:$C,"&lt;="&amp;H$8,'Journal Entries'!$C:$C,"&gt;"&amp;G$8)</f>
        <v>0</v>
      </c>
      <c r="I39" s="43">
        <f>SUMIFS('Journal Entries'!$L:$L,'Journal Entries'!$K:$K,$C39,'Journal Entries'!$C:$C,"&lt;="&amp;I$8,'Journal Entries'!$C:$C,"&gt;"&amp;H$8)</f>
        <v>0</v>
      </c>
      <c r="J39" s="43">
        <f>SUMIFS('Journal Entries'!$L:$L,'Journal Entries'!$K:$K,$C39,'Journal Entries'!$C:$C,"&lt;="&amp;J$8,'Journal Entries'!$C:$C,"&gt;"&amp;I$8)</f>
        <v>0</v>
      </c>
      <c r="K39" s="43">
        <f>SUMIFS('Journal Entries'!$L:$L,'Journal Entries'!$K:$K,$C39,'Journal Entries'!$C:$C,"&lt;="&amp;K$8,'Journal Entries'!$C:$C,"&gt;"&amp;J$8)</f>
        <v>0</v>
      </c>
      <c r="L39" s="43">
        <f>SUMIFS('Journal Entries'!$L:$L,'Journal Entries'!$K:$K,$C39,'Journal Entries'!$C:$C,"&lt;="&amp;L$8,'Journal Entries'!$C:$C,"&gt;"&amp;K$8)</f>
        <v>0</v>
      </c>
      <c r="M39" s="43">
        <f>SUMIFS('Journal Entries'!$L:$L,'Journal Entries'!$K:$K,$C39,'Journal Entries'!$C:$C,"&lt;="&amp;M$8,'Journal Entries'!$C:$C,"&gt;"&amp;L$8)</f>
        <v>0</v>
      </c>
      <c r="N39" s="43">
        <f>SUMIFS('Journal Entries'!$L:$L,'Journal Entries'!$K:$K,$C39,'Journal Entries'!$C:$C,"&lt;="&amp;N$8,'Journal Entries'!$C:$C,"&gt;"&amp;M$8)</f>
        <v>0</v>
      </c>
      <c r="O39" s="43">
        <f>SUMIFS('Journal Entries'!$L:$L,'Journal Entries'!$K:$K,$C39,'Journal Entries'!$C:$C,"&lt;="&amp;O$8,'Journal Entries'!$C:$C,"&gt;"&amp;N$8)</f>
        <v>0</v>
      </c>
      <c r="P39" s="43">
        <f>SUMIFS('Journal Entries'!$L:$L,'Journal Entries'!$K:$K,$C39,'Journal Entries'!$C:$C,"&lt;="&amp;P$8,'Journal Entries'!$C:$C,"&gt;"&amp;O$8)</f>
        <v>0</v>
      </c>
      <c r="Q39" s="43">
        <f>SUMIFS('Journal Entries'!$L:$L,'Journal Entries'!$K:$K,$C39,'Journal Entries'!$C:$C,"&lt;="&amp;Q$8,'Journal Entries'!$C:$C,"&gt;"&amp;P$8)</f>
        <v>0</v>
      </c>
      <c r="R39" s="43">
        <f>SUMIFS('Journal Entries'!$L:$L,'Journal Entries'!$K:$K,$C39,'Journal Entries'!$C:$C,"&lt;="&amp;R$8,'Journal Entries'!$C:$C,"&gt;"&amp;Q$8)</f>
        <v>0</v>
      </c>
      <c r="S39" s="43">
        <f>SUMIFS('Journal Entries'!$L:$L,'Journal Entries'!$K:$K,$C39,'Journal Entries'!$C:$C,"&lt;="&amp;S$8,'Journal Entries'!$C:$C,"&gt;"&amp;R$8)</f>
        <v>0</v>
      </c>
      <c r="T39" s="43">
        <f>SUMIFS('Journal Entries'!$L:$L,'Journal Entries'!$K:$K,$C39,'Journal Entries'!$C:$C,"&lt;="&amp;T$8,'Journal Entries'!$C:$C,"&gt;"&amp;S$8)</f>
        <v>0</v>
      </c>
      <c r="U39" s="43">
        <f>SUMIFS('Journal Entries'!$L:$L,'Journal Entries'!$K:$K,$C39,'Journal Entries'!$C:$C,"&lt;="&amp;U$8,'Journal Entries'!$C:$C,"&gt;"&amp;T$8)</f>
        <v>0</v>
      </c>
      <c r="V39" s="43">
        <f>SUMIFS('Journal Entries'!$L:$L,'Journal Entries'!$K:$K,$C39,'Journal Entries'!$C:$C,"&lt;="&amp;V$8,'Journal Entries'!$C:$C,"&gt;"&amp;U$8)</f>
        <v>0</v>
      </c>
      <c r="W39" s="43">
        <f>SUMIFS('Journal Entries'!$L:$L,'Journal Entries'!$K:$K,$C39,'Journal Entries'!$C:$C,"&lt;="&amp;W$8,'Journal Entries'!$C:$C,"&gt;"&amp;V$8)</f>
        <v>0</v>
      </c>
      <c r="X39" s="43">
        <f>SUMIFS('Journal Entries'!$L:$L,'Journal Entries'!$K:$K,$C39,'Journal Entries'!$C:$C,"&lt;="&amp;X$8,'Journal Entries'!$C:$C,"&gt;"&amp;W$8)</f>
        <v>0</v>
      </c>
      <c r="Y39" s="43">
        <f>SUMIFS('Journal Entries'!$L:$L,'Journal Entries'!$K:$K,$C39,'Journal Entries'!$C:$C,"&lt;="&amp;Y$8,'Journal Entries'!$C:$C,"&gt;"&amp;X$8)</f>
        <v>0</v>
      </c>
      <c r="Z39" s="43">
        <f>SUMIFS('Journal Entries'!$L:$L,'Journal Entries'!$K:$K,$C39,'Journal Entries'!$C:$C,"&lt;="&amp;Z$8,'Journal Entries'!$C:$C,"&gt;"&amp;Y$8)</f>
        <v>0</v>
      </c>
      <c r="AA39" s="43">
        <f>SUMIFS('Journal Entries'!$L:$L,'Journal Entries'!$K:$K,$C39,'Journal Entries'!$C:$C,"&lt;="&amp;AA$8,'Journal Entries'!$C:$C,"&gt;"&amp;Z$8)</f>
        <v>0</v>
      </c>
      <c r="AB39" s="43">
        <f>SUMIFS('Journal Entries'!$L:$L,'Journal Entries'!$K:$K,$C39,'Journal Entries'!$C:$C,"&lt;="&amp;AB$8,'Journal Entries'!$C:$C,"&gt;"&amp;AA$8)</f>
        <v>0</v>
      </c>
      <c r="AC39" s="43">
        <f>SUMIFS('Journal Entries'!$L:$L,'Journal Entries'!$K:$K,$C39,'Journal Entries'!$C:$C,"&lt;="&amp;AC$8,'Journal Entries'!$C:$C,"&gt;"&amp;AB$8)</f>
        <v>0</v>
      </c>
      <c r="AD39" s="43">
        <f>SUMIFS('Journal Entries'!$L:$L,'Journal Entries'!$K:$K,$C39,'Journal Entries'!$C:$C,"&lt;="&amp;AD$8,'Journal Entries'!$C:$C,"&gt;"&amp;AC$8)</f>
        <v>0</v>
      </c>
      <c r="AE39" s="43">
        <f>SUMIFS('Journal Entries'!$L:$L,'Journal Entries'!$K:$K,$C39,'Journal Entries'!$C:$C,"&lt;="&amp;AE$8,'Journal Entries'!$C:$C,"&gt;"&amp;AD$8)</f>
        <v>0</v>
      </c>
      <c r="AF39" s="43">
        <f>SUMIFS('Journal Entries'!$L:$L,'Journal Entries'!$K:$K,$C39,'Journal Entries'!$C:$C,"&lt;="&amp;AF$8,'Journal Entries'!$C:$C,"&gt;"&amp;AE$8)</f>
        <v>0</v>
      </c>
      <c r="AG39" s="43">
        <f>SUMIFS('Journal Entries'!$L:$L,'Journal Entries'!$K:$K,$C39,'Journal Entries'!$C:$C,"&lt;="&amp;AG$8,'Journal Entries'!$C:$C,"&gt;"&amp;AF$8)</f>
        <v>0</v>
      </c>
      <c r="AH39" s="43">
        <f>SUMIFS('Journal Entries'!$L:$L,'Journal Entries'!$K:$K,$C39,'Journal Entries'!$C:$C,"&lt;="&amp;AH$8,'Journal Entries'!$C:$C,"&gt;"&amp;AG$8)</f>
        <v>0</v>
      </c>
      <c r="AI39" s="43">
        <f>SUMIFS('Journal Entries'!$L:$L,'Journal Entries'!$K:$K,$C39,'Journal Entries'!$C:$C,"&lt;="&amp;AI$8,'Journal Entries'!$C:$C,"&gt;"&amp;AH$8)</f>
        <v>0</v>
      </c>
      <c r="AJ39" s="43">
        <f>SUMIFS('Journal Entries'!$L:$L,'Journal Entries'!$K:$K,$C39,'Journal Entries'!$C:$C,"&lt;="&amp;AJ$8,'Journal Entries'!$C:$C,"&gt;"&amp;AI$8)</f>
        <v>0</v>
      </c>
      <c r="AK39" s="43">
        <f>SUMIFS('Journal Entries'!$L:$L,'Journal Entries'!$K:$K,$C39,'Journal Entries'!$C:$C,"&lt;="&amp;AK$8,'Journal Entries'!$C:$C,"&gt;"&amp;AJ$8)</f>
        <v>0</v>
      </c>
      <c r="AL39" s="43">
        <f>SUMIFS('Journal Entries'!$L:$L,'Journal Entries'!$K:$K,$C39,'Journal Entries'!$C:$C,"&lt;="&amp;AL$8,'Journal Entries'!$C:$C,"&gt;"&amp;AK$8)</f>
        <v>0</v>
      </c>
      <c r="AM39" s="43">
        <f>SUMIFS('Journal Entries'!$L:$L,'Journal Entries'!$K:$K,$C39,'Journal Entries'!$C:$C,"&lt;="&amp;AM$8,'Journal Entries'!$C:$C,"&gt;"&amp;AL$8)</f>
        <v>0</v>
      </c>
      <c r="AN39" s="43">
        <f>SUMIFS('Journal Entries'!$L:$L,'Journal Entries'!$K:$K,$C39,'Journal Entries'!$C:$C,"&lt;="&amp;AN$8,'Journal Entries'!$C:$C,"&gt;"&amp;AM$8)</f>
        <v>0</v>
      </c>
      <c r="AO39" s="43">
        <f>SUMIFS('Journal Entries'!$L:$L,'Journal Entries'!$K:$K,$C39,'Journal Entries'!$C:$C,"&lt;="&amp;AO$8,'Journal Entries'!$C:$C,"&gt;"&amp;AN$8)</f>
        <v>0</v>
      </c>
      <c r="AP39" s="43">
        <f>SUMIFS('Journal Entries'!$L:$L,'Journal Entries'!$K:$K,$C39,'Journal Entries'!$C:$C,"&lt;="&amp;AP$8,'Journal Entries'!$C:$C,"&gt;"&amp;AO$8)</f>
        <v>0</v>
      </c>
      <c r="AQ39" s="43">
        <f>SUMIFS('Journal Entries'!$L:$L,'Journal Entries'!$K:$K,$C39,'Journal Entries'!$C:$C,"&lt;="&amp;AQ$8,'Journal Entries'!$C:$C,"&gt;"&amp;AP$8)</f>
        <v>0</v>
      </c>
      <c r="AR39" s="43">
        <f>SUMIFS('Journal Entries'!$L:$L,'Journal Entries'!$K:$K,$C39,'Journal Entries'!$C:$C,"&lt;="&amp;AR$8,'Journal Entries'!$C:$C,"&gt;"&amp;AQ$8)</f>
        <v>0</v>
      </c>
      <c r="AS39" s="43">
        <f>SUMIFS('Journal Entries'!$L:$L,'Journal Entries'!$K:$K,$C39,'Journal Entries'!$C:$C,"&lt;="&amp;AS$8,'Journal Entries'!$C:$C,"&gt;"&amp;AR$8)</f>
        <v>0</v>
      </c>
      <c r="AT39" s="43">
        <f>SUMIFS('Journal Entries'!$L:$L,'Journal Entries'!$K:$K,$C39,'Journal Entries'!$C:$C,"&lt;="&amp;AT$8,'Journal Entries'!$C:$C,"&gt;"&amp;AS$8)</f>
        <v>0</v>
      </c>
      <c r="AU39" s="43">
        <f>SUMIFS('Journal Entries'!$L:$L,'Journal Entries'!$K:$K,$C39,'Journal Entries'!$C:$C,"&lt;="&amp;AU$8,'Journal Entries'!$C:$C,"&gt;"&amp;AT$8)</f>
        <v>0</v>
      </c>
      <c r="AV39" s="43">
        <f>SUMIFS('Journal Entries'!$L:$L,'Journal Entries'!$K:$K,$C39,'Journal Entries'!$C:$C,"&lt;="&amp;AV$8,'Journal Entries'!$C:$C,"&gt;"&amp;AU$8)</f>
        <v>0</v>
      </c>
      <c r="AW39" s="43">
        <f>SUMIFS('Journal Entries'!$L:$L,'Journal Entries'!$K:$K,$C39,'Journal Entries'!$C:$C,"&lt;="&amp;AW$8,'Journal Entries'!$C:$C,"&gt;"&amp;AV$8)</f>
        <v>0</v>
      </c>
      <c r="AX39" s="43">
        <f>SUMIFS('Journal Entries'!$L:$L,'Journal Entries'!$K:$K,$C39,'Journal Entries'!$C:$C,"&lt;="&amp;AX$8,'Journal Entries'!$C:$C,"&gt;"&amp;AW$8)</f>
        <v>0</v>
      </c>
      <c r="AY39" s="43">
        <f>SUMIFS('Journal Entries'!$L:$L,'Journal Entries'!$K:$K,$C39,'Journal Entries'!$C:$C,"&lt;="&amp;AY$8,'Journal Entries'!$C:$C,"&gt;"&amp;AX$8)</f>
        <v>0</v>
      </c>
      <c r="AZ39" s="43">
        <f>SUMIFS('Journal Entries'!$L:$L,'Journal Entries'!$K:$K,$C39,'Journal Entries'!$C:$C,"&lt;="&amp;AZ$8,'Journal Entries'!$C:$C,"&gt;"&amp;AY$8)</f>
        <v>0</v>
      </c>
      <c r="BA39" s="43">
        <f>SUMIFS('Journal Entries'!$L:$L,'Journal Entries'!$K:$K,$C39,'Journal Entries'!$C:$C,"&lt;="&amp;BA$8,'Journal Entries'!$C:$C,"&gt;"&amp;AZ$8)</f>
        <v>0</v>
      </c>
      <c r="BB39" s="43">
        <f>SUMIFS('Journal Entries'!$L:$L,'Journal Entries'!$K:$K,$C39,'Journal Entries'!$C:$C,"&lt;="&amp;BB$8,'Journal Entries'!$C:$C,"&gt;"&amp;BA$8)</f>
        <v>0</v>
      </c>
      <c r="BC39" s="43">
        <f>SUMIFS('Journal Entries'!$L:$L,'Journal Entries'!$K:$K,$C39,'Journal Entries'!$C:$C,"&lt;="&amp;BC$8,'Journal Entries'!$C:$C,"&gt;"&amp;BB$8)</f>
        <v>0</v>
      </c>
      <c r="BD39" s="43">
        <f>SUMIFS('Journal Entries'!$L:$L,'Journal Entries'!$K:$K,$C39,'Journal Entries'!$C:$C,"&lt;="&amp;BD$8,'Journal Entries'!$C:$C,"&gt;"&amp;BC$8)</f>
        <v>0</v>
      </c>
      <c r="BE39" s="43">
        <f>SUMIFS('Journal Entries'!$L:$L,'Journal Entries'!$K:$K,$C39,'Journal Entries'!$C:$C,"&lt;="&amp;BE$8,'Journal Entries'!$C:$C,"&gt;"&amp;BD$8)</f>
        <v>0</v>
      </c>
      <c r="BF39" s="43">
        <f>SUMIFS('Journal Entries'!$L:$L,'Journal Entries'!$K:$K,$C39,'Journal Entries'!$C:$C,"&lt;="&amp;BF$8,'Journal Entries'!$C:$C,"&gt;"&amp;BE$8)</f>
        <v>0</v>
      </c>
      <c r="BG39" s="43">
        <f>SUMIFS('Journal Entries'!$L:$L,'Journal Entries'!$K:$K,$C39,'Journal Entries'!$C:$C,"&lt;="&amp;BG$8,'Journal Entries'!$C:$C,"&gt;"&amp;BF$8)</f>
        <v>0</v>
      </c>
      <c r="BH39" s="43">
        <f>SUMIFS('Journal Entries'!$L:$L,'Journal Entries'!$K:$K,$C39,'Journal Entries'!$C:$C,"&lt;="&amp;BH$8,'Journal Entries'!$C:$C,"&gt;"&amp;BG$8)</f>
        <v>0</v>
      </c>
      <c r="BI39" s="43">
        <f>SUMIFS('Journal Entries'!$L:$L,'Journal Entries'!$K:$K,$C39,'Journal Entries'!$C:$C,"&lt;="&amp;BI$8,'Journal Entries'!$C:$C,"&gt;"&amp;BH$8)</f>
        <v>0</v>
      </c>
      <c r="BJ39" s="43">
        <f>SUMIFS('Journal Entries'!$L:$L,'Journal Entries'!$K:$K,$C39,'Journal Entries'!$C:$C,"&lt;="&amp;BJ$8,'Journal Entries'!$C:$C,"&gt;"&amp;BI$8)</f>
        <v>0</v>
      </c>
      <c r="BK39" s="43">
        <f>SUMIFS('Journal Entries'!$L:$L,'Journal Entries'!$K:$K,$C39,'Journal Entries'!$C:$C,"&lt;="&amp;BK$8,'Journal Entries'!$C:$C,"&gt;"&amp;BJ$8)</f>
        <v>0</v>
      </c>
      <c r="BL39" s="43">
        <f>SUMIFS('Journal Entries'!$L:$L,'Journal Entries'!$K:$K,$C39,'Journal Entries'!$C:$C,"&lt;="&amp;BL$8,'Journal Entries'!$C:$C,"&gt;"&amp;BK$8)</f>
        <v>0</v>
      </c>
    </row>
    <row r="40" spans="2:64" x14ac:dyDescent="0.25">
      <c r="B40" s="10">
        <v>2180</v>
      </c>
      <c r="C40" s="10" t="str">
        <f>VLOOKUP(B40,'Chart of Accounts'!$B$3:$C$95,2,0)</f>
        <v>Other liabilities</v>
      </c>
      <c r="D40" s="525">
        <f t="shared" si="2"/>
        <v>0</v>
      </c>
      <c r="E40" s="43">
        <f>SUMIFS('Journal Entries'!$L:$L,'Journal Entries'!$K:$K,$C40,'Journal Entries'!$C:$C,"&lt;="&amp;E$8,'Journal Entries'!$C:$C,"&gt;"&amp;D$8)</f>
        <v>0</v>
      </c>
      <c r="F40" s="43">
        <f>SUMIFS('Journal Entries'!$L:$L,'Journal Entries'!$K:$K,$C40,'Journal Entries'!$C:$C,"&lt;="&amp;F$8,'Journal Entries'!$C:$C,"&gt;"&amp;E$8)</f>
        <v>0</v>
      </c>
      <c r="G40" s="43">
        <f>SUMIFS('Journal Entries'!$L:$L,'Journal Entries'!$K:$K,$C40,'Journal Entries'!$C:$C,"&lt;="&amp;G$8,'Journal Entries'!$C:$C,"&gt;"&amp;F$8)</f>
        <v>0</v>
      </c>
      <c r="H40" s="43">
        <f>SUMIFS('Journal Entries'!$L:$L,'Journal Entries'!$K:$K,$C40,'Journal Entries'!$C:$C,"&lt;="&amp;H$8,'Journal Entries'!$C:$C,"&gt;"&amp;G$8)</f>
        <v>0</v>
      </c>
      <c r="I40" s="43">
        <f>SUMIFS('Journal Entries'!$L:$L,'Journal Entries'!$K:$K,$C40,'Journal Entries'!$C:$C,"&lt;="&amp;I$8,'Journal Entries'!$C:$C,"&gt;"&amp;H$8)</f>
        <v>0</v>
      </c>
      <c r="J40" s="43">
        <f>SUMIFS('Journal Entries'!$L:$L,'Journal Entries'!$K:$K,$C40,'Journal Entries'!$C:$C,"&lt;="&amp;J$8,'Journal Entries'!$C:$C,"&gt;"&amp;I$8)</f>
        <v>0</v>
      </c>
      <c r="K40" s="43">
        <f>SUMIFS('Journal Entries'!$L:$L,'Journal Entries'!$K:$K,$C40,'Journal Entries'!$C:$C,"&lt;="&amp;K$8,'Journal Entries'!$C:$C,"&gt;"&amp;J$8)</f>
        <v>0</v>
      </c>
      <c r="L40" s="43">
        <f>SUMIFS('Journal Entries'!$L:$L,'Journal Entries'!$K:$K,$C40,'Journal Entries'!$C:$C,"&lt;="&amp;L$8,'Journal Entries'!$C:$C,"&gt;"&amp;K$8)</f>
        <v>0</v>
      </c>
      <c r="M40" s="43">
        <f>SUMIFS('Journal Entries'!$L:$L,'Journal Entries'!$K:$K,$C40,'Journal Entries'!$C:$C,"&lt;="&amp;M$8,'Journal Entries'!$C:$C,"&gt;"&amp;L$8)</f>
        <v>0</v>
      </c>
      <c r="N40" s="43">
        <f>SUMIFS('Journal Entries'!$L:$L,'Journal Entries'!$K:$K,$C40,'Journal Entries'!$C:$C,"&lt;="&amp;N$8,'Journal Entries'!$C:$C,"&gt;"&amp;M$8)</f>
        <v>0</v>
      </c>
      <c r="O40" s="43">
        <f>SUMIFS('Journal Entries'!$L:$L,'Journal Entries'!$K:$K,$C40,'Journal Entries'!$C:$C,"&lt;="&amp;O$8,'Journal Entries'!$C:$C,"&gt;"&amp;N$8)</f>
        <v>0</v>
      </c>
      <c r="P40" s="43">
        <f>SUMIFS('Journal Entries'!$L:$L,'Journal Entries'!$K:$K,$C40,'Journal Entries'!$C:$C,"&lt;="&amp;P$8,'Journal Entries'!$C:$C,"&gt;"&amp;O$8)</f>
        <v>0</v>
      </c>
      <c r="Q40" s="43">
        <f>SUMIFS('Journal Entries'!$L:$L,'Journal Entries'!$K:$K,$C40,'Journal Entries'!$C:$C,"&lt;="&amp;Q$8,'Journal Entries'!$C:$C,"&gt;"&amp;P$8)</f>
        <v>0</v>
      </c>
      <c r="R40" s="43">
        <f>SUMIFS('Journal Entries'!$L:$L,'Journal Entries'!$K:$K,$C40,'Journal Entries'!$C:$C,"&lt;="&amp;R$8,'Journal Entries'!$C:$C,"&gt;"&amp;Q$8)</f>
        <v>0</v>
      </c>
      <c r="S40" s="43">
        <f>SUMIFS('Journal Entries'!$L:$L,'Journal Entries'!$K:$K,$C40,'Journal Entries'!$C:$C,"&lt;="&amp;S$8,'Journal Entries'!$C:$C,"&gt;"&amp;R$8)</f>
        <v>0</v>
      </c>
      <c r="T40" s="43">
        <f>SUMIFS('Journal Entries'!$L:$L,'Journal Entries'!$K:$K,$C40,'Journal Entries'!$C:$C,"&lt;="&amp;T$8,'Journal Entries'!$C:$C,"&gt;"&amp;S$8)</f>
        <v>0</v>
      </c>
      <c r="U40" s="43">
        <f>SUMIFS('Journal Entries'!$L:$L,'Journal Entries'!$K:$K,$C40,'Journal Entries'!$C:$C,"&lt;="&amp;U$8,'Journal Entries'!$C:$C,"&gt;"&amp;T$8)</f>
        <v>0</v>
      </c>
      <c r="V40" s="43">
        <f>SUMIFS('Journal Entries'!$L:$L,'Journal Entries'!$K:$K,$C40,'Journal Entries'!$C:$C,"&lt;="&amp;V$8,'Journal Entries'!$C:$C,"&gt;"&amp;U$8)</f>
        <v>0</v>
      </c>
      <c r="W40" s="43">
        <f>SUMIFS('Journal Entries'!$L:$L,'Journal Entries'!$K:$K,$C40,'Journal Entries'!$C:$C,"&lt;="&amp;W$8,'Journal Entries'!$C:$C,"&gt;"&amp;V$8)</f>
        <v>0</v>
      </c>
      <c r="X40" s="43">
        <f>SUMIFS('Journal Entries'!$L:$L,'Journal Entries'!$K:$K,$C40,'Journal Entries'!$C:$C,"&lt;="&amp;X$8,'Journal Entries'!$C:$C,"&gt;"&amp;W$8)</f>
        <v>0</v>
      </c>
      <c r="Y40" s="43">
        <f>SUMIFS('Journal Entries'!$L:$L,'Journal Entries'!$K:$K,$C40,'Journal Entries'!$C:$C,"&lt;="&amp;Y$8,'Journal Entries'!$C:$C,"&gt;"&amp;X$8)</f>
        <v>0</v>
      </c>
      <c r="Z40" s="43">
        <f>SUMIFS('Journal Entries'!$L:$L,'Journal Entries'!$K:$K,$C40,'Journal Entries'!$C:$C,"&lt;="&amp;Z$8,'Journal Entries'!$C:$C,"&gt;"&amp;Y$8)</f>
        <v>0</v>
      </c>
      <c r="AA40" s="43">
        <f>SUMIFS('Journal Entries'!$L:$L,'Journal Entries'!$K:$K,$C40,'Journal Entries'!$C:$C,"&lt;="&amp;AA$8,'Journal Entries'!$C:$C,"&gt;"&amp;Z$8)</f>
        <v>0</v>
      </c>
      <c r="AB40" s="43">
        <f>SUMIFS('Journal Entries'!$L:$L,'Journal Entries'!$K:$K,$C40,'Journal Entries'!$C:$C,"&lt;="&amp;AB$8,'Journal Entries'!$C:$C,"&gt;"&amp;AA$8)</f>
        <v>0</v>
      </c>
      <c r="AC40" s="43">
        <f>SUMIFS('Journal Entries'!$L:$L,'Journal Entries'!$K:$K,$C40,'Journal Entries'!$C:$C,"&lt;="&amp;AC$8,'Journal Entries'!$C:$C,"&gt;"&amp;AB$8)</f>
        <v>0</v>
      </c>
      <c r="AD40" s="43">
        <f>SUMIFS('Journal Entries'!$L:$L,'Journal Entries'!$K:$K,$C40,'Journal Entries'!$C:$C,"&lt;="&amp;AD$8,'Journal Entries'!$C:$C,"&gt;"&amp;AC$8)</f>
        <v>0</v>
      </c>
      <c r="AE40" s="43">
        <f>SUMIFS('Journal Entries'!$L:$L,'Journal Entries'!$K:$K,$C40,'Journal Entries'!$C:$C,"&lt;="&amp;AE$8,'Journal Entries'!$C:$C,"&gt;"&amp;AD$8)</f>
        <v>0</v>
      </c>
      <c r="AF40" s="43">
        <f>SUMIFS('Journal Entries'!$L:$L,'Journal Entries'!$K:$K,$C40,'Journal Entries'!$C:$C,"&lt;="&amp;AF$8,'Journal Entries'!$C:$C,"&gt;"&amp;AE$8)</f>
        <v>0</v>
      </c>
      <c r="AG40" s="43">
        <f>SUMIFS('Journal Entries'!$L:$L,'Journal Entries'!$K:$K,$C40,'Journal Entries'!$C:$C,"&lt;="&amp;AG$8,'Journal Entries'!$C:$C,"&gt;"&amp;AF$8)</f>
        <v>0</v>
      </c>
      <c r="AH40" s="43">
        <f>SUMIFS('Journal Entries'!$L:$L,'Journal Entries'!$K:$K,$C40,'Journal Entries'!$C:$C,"&lt;="&amp;AH$8,'Journal Entries'!$C:$C,"&gt;"&amp;AG$8)</f>
        <v>0</v>
      </c>
      <c r="AI40" s="43">
        <f>SUMIFS('Journal Entries'!$L:$L,'Journal Entries'!$K:$K,$C40,'Journal Entries'!$C:$C,"&lt;="&amp;AI$8,'Journal Entries'!$C:$C,"&gt;"&amp;AH$8)</f>
        <v>0</v>
      </c>
      <c r="AJ40" s="43">
        <f>SUMIFS('Journal Entries'!$L:$L,'Journal Entries'!$K:$K,$C40,'Journal Entries'!$C:$C,"&lt;="&amp;AJ$8,'Journal Entries'!$C:$C,"&gt;"&amp;AI$8)</f>
        <v>0</v>
      </c>
      <c r="AK40" s="43">
        <f>SUMIFS('Journal Entries'!$L:$L,'Journal Entries'!$K:$K,$C40,'Journal Entries'!$C:$C,"&lt;="&amp;AK$8,'Journal Entries'!$C:$C,"&gt;"&amp;AJ$8)</f>
        <v>0</v>
      </c>
      <c r="AL40" s="43">
        <f>SUMIFS('Journal Entries'!$L:$L,'Journal Entries'!$K:$K,$C40,'Journal Entries'!$C:$C,"&lt;="&amp;AL$8,'Journal Entries'!$C:$C,"&gt;"&amp;AK$8)</f>
        <v>0</v>
      </c>
      <c r="AM40" s="43">
        <f>SUMIFS('Journal Entries'!$L:$L,'Journal Entries'!$K:$K,$C40,'Journal Entries'!$C:$C,"&lt;="&amp;AM$8,'Journal Entries'!$C:$C,"&gt;"&amp;AL$8)</f>
        <v>0</v>
      </c>
      <c r="AN40" s="43">
        <f>SUMIFS('Journal Entries'!$L:$L,'Journal Entries'!$K:$K,$C40,'Journal Entries'!$C:$C,"&lt;="&amp;AN$8,'Journal Entries'!$C:$C,"&gt;"&amp;AM$8)</f>
        <v>0</v>
      </c>
      <c r="AO40" s="43">
        <f>SUMIFS('Journal Entries'!$L:$L,'Journal Entries'!$K:$K,$C40,'Journal Entries'!$C:$C,"&lt;="&amp;AO$8,'Journal Entries'!$C:$C,"&gt;"&amp;AN$8)</f>
        <v>0</v>
      </c>
      <c r="AP40" s="43">
        <f>SUMIFS('Journal Entries'!$L:$L,'Journal Entries'!$K:$K,$C40,'Journal Entries'!$C:$C,"&lt;="&amp;AP$8,'Journal Entries'!$C:$C,"&gt;"&amp;AO$8)</f>
        <v>0</v>
      </c>
      <c r="AQ40" s="43">
        <f>SUMIFS('Journal Entries'!$L:$L,'Journal Entries'!$K:$K,$C40,'Journal Entries'!$C:$C,"&lt;="&amp;AQ$8,'Journal Entries'!$C:$C,"&gt;"&amp;AP$8)</f>
        <v>0</v>
      </c>
      <c r="AR40" s="43">
        <f>SUMIFS('Journal Entries'!$L:$L,'Journal Entries'!$K:$K,$C40,'Journal Entries'!$C:$C,"&lt;="&amp;AR$8,'Journal Entries'!$C:$C,"&gt;"&amp;AQ$8)</f>
        <v>0</v>
      </c>
      <c r="AS40" s="43">
        <f>SUMIFS('Journal Entries'!$L:$L,'Journal Entries'!$K:$K,$C40,'Journal Entries'!$C:$C,"&lt;="&amp;AS$8,'Journal Entries'!$C:$C,"&gt;"&amp;AR$8)</f>
        <v>0</v>
      </c>
      <c r="AT40" s="43">
        <f>SUMIFS('Journal Entries'!$L:$L,'Journal Entries'!$K:$K,$C40,'Journal Entries'!$C:$C,"&lt;="&amp;AT$8,'Journal Entries'!$C:$C,"&gt;"&amp;AS$8)</f>
        <v>0</v>
      </c>
      <c r="AU40" s="43">
        <f>SUMIFS('Journal Entries'!$L:$L,'Journal Entries'!$K:$K,$C40,'Journal Entries'!$C:$C,"&lt;="&amp;AU$8,'Journal Entries'!$C:$C,"&gt;"&amp;AT$8)</f>
        <v>0</v>
      </c>
      <c r="AV40" s="43">
        <f>SUMIFS('Journal Entries'!$L:$L,'Journal Entries'!$K:$K,$C40,'Journal Entries'!$C:$C,"&lt;="&amp;AV$8,'Journal Entries'!$C:$C,"&gt;"&amp;AU$8)</f>
        <v>0</v>
      </c>
      <c r="AW40" s="43">
        <f>SUMIFS('Journal Entries'!$L:$L,'Journal Entries'!$K:$K,$C40,'Journal Entries'!$C:$C,"&lt;="&amp;AW$8,'Journal Entries'!$C:$C,"&gt;"&amp;AV$8)</f>
        <v>0</v>
      </c>
      <c r="AX40" s="43">
        <f>SUMIFS('Journal Entries'!$L:$L,'Journal Entries'!$K:$K,$C40,'Journal Entries'!$C:$C,"&lt;="&amp;AX$8,'Journal Entries'!$C:$C,"&gt;"&amp;AW$8)</f>
        <v>0</v>
      </c>
      <c r="AY40" s="43">
        <f>SUMIFS('Journal Entries'!$L:$L,'Journal Entries'!$K:$K,$C40,'Journal Entries'!$C:$C,"&lt;="&amp;AY$8,'Journal Entries'!$C:$C,"&gt;"&amp;AX$8)</f>
        <v>0</v>
      </c>
      <c r="AZ40" s="43">
        <f>SUMIFS('Journal Entries'!$L:$L,'Journal Entries'!$K:$K,$C40,'Journal Entries'!$C:$C,"&lt;="&amp;AZ$8,'Journal Entries'!$C:$C,"&gt;"&amp;AY$8)</f>
        <v>0</v>
      </c>
      <c r="BA40" s="43">
        <f>SUMIFS('Journal Entries'!$L:$L,'Journal Entries'!$K:$K,$C40,'Journal Entries'!$C:$C,"&lt;="&amp;BA$8,'Journal Entries'!$C:$C,"&gt;"&amp;AZ$8)</f>
        <v>0</v>
      </c>
      <c r="BB40" s="43">
        <f>SUMIFS('Journal Entries'!$L:$L,'Journal Entries'!$K:$K,$C40,'Journal Entries'!$C:$C,"&lt;="&amp;BB$8,'Journal Entries'!$C:$C,"&gt;"&amp;BA$8)</f>
        <v>0</v>
      </c>
      <c r="BC40" s="43">
        <f>SUMIFS('Journal Entries'!$L:$L,'Journal Entries'!$K:$K,$C40,'Journal Entries'!$C:$C,"&lt;="&amp;BC$8,'Journal Entries'!$C:$C,"&gt;"&amp;BB$8)</f>
        <v>0</v>
      </c>
      <c r="BD40" s="43">
        <f>SUMIFS('Journal Entries'!$L:$L,'Journal Entries'!$K:$K,$C40,'Journal Entries'!$C:$C,"&lt;="&amp;BD$8,'Journal Entries'!$C:$C,"&gt;"&amp;BC$8)</f>
        <v>0</v>
      </c>
      <c r="BE40" s="43">
        <f>SUMIFS('Journal Entries'!$L:$L,'Journal Entries'!$K:$K,$C40,'Journal Entries'!$C:$C,"&lt;="&amp;BE$8,'Journal Entries'!$C:$C,"&gt;"&amp;BD$8)</f>
        <v>0</v>
      </c>
      <c r="BF40" s="43">
        <f>SUMIFS('Journal Entries'!$L:$L,'Journal Entries'!$K:$K,$C40,'Journal Entries'!$C:$C,"&lt;="&amp;BF$8,'Journal Entries'!$C:$C,"&gt;"&amp;BE$8)</f>
        <v>0</v>
      </c>
      <c r="BG40" s="43">
        <f>SUMIFS('Journal Entries'!$L:$L,'Journal Entries'!$K:$K,$C40,'Journal Entries'!$C:$C,"&lt;="&amp;BG$8,'Journal Entries'!$C:$C,"&gt;"&amp;BF$8)</f>
        <v>0</v>
      </c>
      <c r="BH40" s="43">
        <f>SUMIFS('Journal Entries'!$L:$L,'Journal Entries'!$K:$K,$C40,'Journal Entries'!$C:$C,"&lt;="&amp;BH$8,'Journal Entries'!$C:$C,"&gt;"&amp;BG$8)</f>
        <v>0</v>
      </c>
      <c r="BI40" s="43">
        <f>SUMIFS('Journal Entries'!$L:$L,'Journal Entries'!$K:$K,$C40,'Journal Entries'!$C:$C,"&lt;="&amp;BI$8,'Journal Entries'!$C:$C,"&gt;"&amp;BH$8)</f>
        <v>0</v>
      </c>
      <c r="BJ40" s="43">
        <f>SUMIFS('Journal Entries'!$L:$L,'Journal Entries'!$K:$K,$C40,'Journal Entries'!$C:$C,"&lt;="&amp;BJ$8,'Journal Entries'!$C:$C,"&gt;"&amp;BI$8)</f>
        <v>0</v>
      </c>
      <c r="BK40" s="43">
        <f>SUMIFS('Journal Entries'!$L:$L,'Journal Entries'!$K:$K,$C40,'Journal Entries'!$C:$C,"&lt;="&amp;BK$8,'Journal Entries'!$C:$C,"&gt;"&amp;BJ$8)</f>
        <v>0</v>
      </c>
      <c r="BL40" s="43">
        <f>SUMIFS('Journal Entries'!$L:$L,'Journal Entries'!$K:$K,$C40,'Journal Entries'!$C:$C,"&lt;="&amp;BL$8,'Journal Entries'!$C:$C,"&gt;"&amp;BK$8)</f>
        <v>0</v>
      </c>
    </row>
    <row r="41" spans="2:64" x14ac:dyDescent="0.25">
      <c r="B41" s="10">
        <v>2190</v>
      </c>
      <c r="C41" s="10" t="str">
        <f>VLOOKUP(B41,'Chart of Accounts'!$B$3:$C$95,2,0)</f>
        <v>Deferred tax liability</v>
      </c>
      <c r="D41" s="525">
        <f t="shared" si="2"/>
        <v>0</v>
      </c>
      <c r="E41" s="43">
        <f>SUMIFS('Journal Entries'!$L:$L,'Journal Entries'!$K:$K,$C41,'Journal Entries'!$C:$C,"&lt;="&amp;E$8,'Journal Entries'!$C:$C,"&gt;"&amp;D$8)</f>
        <v>0</v>
      </c>
      <c r="F41" s="43">
        <f>SUMIFS('Journal Entries'!$L:$L,'Journal Entries'!$K:$K,$C41,'Journal Entries'!$C:$C,"&lt;="&amp;F$8,'Journal Entries'!$C:$C,"&gt;"&amp;E$8)</f>
        <v>0</v>
      </c>
      <c r="G41" s="43">
        <f>SUMIFS('Journal Entries'!$L:$L,'Journal Entries'!$K:$K,$C41,'Journal Entries'!$C:$C,"&lt;="&amp;G$8,'Journal Entries'!$C:$C,"&gt;"&amp;F$8)</f>
        <v>0</v>
      </c>
      <c r="H41" s="43">
        <f>SUMIFS('Journal Entries'!$L:$L,'Journal Entries'!$K:$K,$C41,'Journal Entries'!$C:$C,"&lt;="&amp;H$8,'Journal Entries'!$C:$C,"&gt;"&amp;G$8)</f>
        <v>0</v>
      </c>
      <c r="I41" s="43">
        <f>SUMIFS('Journal Entries'!$L:$L,'Journal Entries'!$K:$K,$C41,'Journal Entries'!$C:$C,"&lt;="&amp;I$8,'Journal Entries'!$C:$C,"&gt;"&amp;H$8)</f>
        <v>0</v>
      </c>
      <c r="J41" s="43">
        <f>SUMIFS('Journal Entries'!$L:$L,'Journal Entries'!$K:$K,$C41,'Journal Entries'!$C:$C,"&lt;="&amp;J$8,'Journal Entries'!$C:$C,"&gt;"&amp;I$8)</f>
        <v>0</v>
      </c>
      <c r="K41" s="43">
        <f>SUMIFS('Journal Entries'!$L:$L,'Journal Entries'!$K:$K,$C41,'Journal Entries'!$C:$C,"&lt;="&amp;K$8,'Journal Entries'!$C:$C,"&gt;"&amp;J$8)</f>
        <v>0</v>
      </c>
      <c r="L41" s="43">
        <f>SUMIFS('Journal Entries'!$L:$L,'Journal Entries'!$K:$K,$C41,'Journal Entries'!$C:$C,"&lt;="&amp;L$8,'Journal Entries'!$C:$C,"&gt;"&amp;K$8)</f>
        <v>0</v>
      </c>
      <c r="M41" s="43">
        <f>SUMIFS('Journal Entries'!$L:$L,'Journal Entries'!$K:$K,$C41,'Journal Entries'!$C:$C,"&lt;="&amp;M$8,'Journal Entries'!$C:$C,"&gt;"&amp;L$8)</f>
        <v>0</v>
      </c>
      <c r="N41" s="43">
        <f>SUMIFS('Journal Entries'!$L:$L,'Journal Entries'!$K:$K,$C41,'Journal Entries'!$C:$C,"&lt;="&amp;N$8,'Journal Entries'!$C:$C,"&gt;"&amp;M$8)</f>
        <v>0</v>
      </c>
      <c r="O41" s="43">
        <f>SUMIFS('Journal Entries'!$L:$L,'Journal Entries'!$K:$K,$C41,'Journal Entries'!$C:$C,"&lt;="&amp;O$8,'Journal Entries'!$C:$C,"&gt;"&amp;N$8)</f>
        <v>0</v>
      </c>
      <c r="P41" s="43">
        <f>SUMIFS('Journal Entries'!$L:$L,'Journal Entries'!$K:$K,$C41,'Journal Entries'!$C:$C,"&lt;="&amp;P$8,'Journal Entries'!$C:$C,"&gt;"&amp;O$8)</f>
        <v>0</v>
      </c>
      <c r="Q41" s="43">
        <f>SUMIFS('Journal Entries'!$L:$L,'Journal Entries'!$K:$K,$C41,'Journal Entries'!$C:$C,"&lt;="&amp;Q$8,'Journal Entries'!$C:$C,"&gt;"&amp;P$8)</f>
        <v>0</v>
      </c>
      <c r="R41" s="43">
        <f>SUMIFS('Journal Entries'!$L:$L,'Journal Entries'!$K:$K,$C41,'Journal Entries'!$C:$C,"&lt;="&amp;R$8,'Journal Entries'!$C:$C,"&gt;"&amp;Q$8)</f>
        <v>0</v>
      </c>
      <c r="S41" s="43">
        <f>SUMIFS('Journal Entries'!$L:$L,'Journal Entries'!$K:$K,$C41,'Journal Entries'!$C:$C,"&lt;="&amp;S$8,'Journal Entries'!$C:$C,"&gt;"&amp;R$8)</f>
        <v>0</v>
      </c>
      <c r="T41" s="43">
        <f>SUMIFS('Journal Entries'!$L:$L,'Journal Entries'!$K:$K,$C41,'Journal Entries'!$C:$C,"&lt;="&amp;T$8,'Journal Entries'!$C:$C,"&gt;"&amp;S$8)</f>
        <v>0</v>
      </c>
      <c r="U41" s="43">
        <f>SUMIFS('Journal Entries'!$L:$L,'Journal Entries'!$K:$K,$C41,'Journal Entries'!$C:$C,"&lt;="&amp;U$8,'Journal Entries'!$C:$C,"&gt;"&amp;T$8)</f>
        <v>0</v>
      </c>
      <c r="V41" s="43">
        <f>SUMIFS('Journal Entries'!$L:$L,'Journal Entries'!$K:$K,$C41,'Journal Entries'!$C:$C,"&lt;="&amp;V$8,'Journal Entries'!$C:$C,"&gt;"&amp;U$8)</f>
        <v>0</v>
      </c>
      <c r="W41" s="43">
        <f>SUMIFS('Journal Entries'!$L:$L,'Journal Entries'!$K:$K,$C41,'Journal Entries'!$C:$C,"&lt;="&amp;W$8,'Journal Entries'!$C:$C,"&gt;"&amp;V$8)</f>
        <v>0</v>
      </c>
      <c r="X41" s="43">
        <f>SUMIFS('Journal Entries'!$L:$L,'Journal Entries'!$K:$K,$C41,'Journal Entries'!$C:$C,"&lt;="&amp;X$8,'Journal Entries'!$C:$C,"&gt;"&amp;W$8)</f>
        <v>0</v>
      </c>
      <c r="Y41" s="43">
        <f>SUMIFS('Journal Entries'!$L:$L,'Journal Entries'!$K:$K,$C41,'Journal Entries'!$C:$C,"&lt;="&amp;Y$8,'Journal Entries'!$C:$C,"&gt;"&amp;X$8)</f>
        <v>0</v>
      </c>
      <c r="Z41" s="43">
        <f>SUMIFS('Journal Entries'!$L:$L,'Journal Entries'!$K:$K,$C41,'Journal Entries'!$C:$C,"&lt;="&amp;Z$8,'Journal Entries'!$C:$C,"&gt;"&amp;Y$8)</f>
        <v>0</v>
      </c>
      <c r="AA41" s="43">
        <f>SUMIFS('Journal Entries'!$L:$L,'Journal Entries'!$K:$K,$C41,'Journal Entries'!$C:$C,"&lt;="&amp;AA$8,'Journal Entries'!$C:$C,"&gt;"&amp;Z$8)</f>
        <v>0</v>
      </c>
      <c r="AB41" s="43">
        <f>SUMIFS('Journal Entries'!$L:$L,'Journal Entries'!$K:$K,$C41,'Journal Entries'!$C:$C,"&lt;="&amp;AB$8,'Journal Entries'!$C:$C,"&gt;"&amp;AA$8)</f>
        <v>0</v>
      </c>
      <c r="AC41" s="43">
        <f>SUMIFS('Journal Entries'!$L:$L,'Journal Entries'!$K:$K,$C41,'Journal Entries'!$C:$C,"&lt;="&amp;AC$8,'Journal Entries'!$C:$C,"&gt;"&amp;AB$8)</f>
        <v>0</v>
      </c>
      <c r="AD41" s="43">
        <f>SUMIFS('Journal Entries'!$L:$L,'Journal Entries'!$K:$K,$C41,'Journal Entries'!$C:$C,"&lt;="&amp;AD$8,'Journal Entries'!$C:$C,"&gt;"&amp;AC$8)</f>
        <v>0</v>
      </c>
      <c r="AE41" s="43">
        <f>SUMIFS('Journal Entries'!$L:$L,'Journal Entries'!$K:$K,$C41,'Journal Entries'!$C:$C,"&lt;="&amp;AE$8,'Journal Entries'!$C:$C,"&gt;"&amp;AD$8)</f>
        <v>0</v>
      </c>
      <c r="AF41" s="43">
        <f>SUMIFS('Journal Entries'!$L:$L,'Journal Entries'!$K:$K,$C41,'Journal Entries'!$C:$C,"&lt;="&amp;AF$8,'Journal Entries'!$C:$C,"&gt;"&amp;AE$8)</f>
        <v>0</v>
      </c>
      <c r="AG41" s="43">
        <f>SUMIFS('Journal Entries'!$L:$L,'Journal Entries'!$K:$K,$C41,'Journal Entries'!$C:$C,"&lt;="&amp;AG$8,'Journal Entries'!$C:$C,"&gt;"&amp;AF$8)</f>
        <v>0</v>
      </c>
      <c r="AH41" s="43">
        <f>SUMIFS('Journal Entries'!$L:$L,'Journal Entries'!$K:$K,$C41,'Journal Entries'!$C:$C,"&lt;="&amp;AH$8,'Journal Entries'!$C:$C,"&gt;"&amp;AG$8)</f>
        <v>0</v>
      </c>
      <c r="AI41" s="43">
        <f>SUMIFS('Journal Entries'!$L:$L,'Journal Entries'!$K:$K,$C41,'Journal Entries'!$C:$C,"&lt;="&amp;AI$8,'Journal Entries'!$C:$C,"&gt;"&amp;AH$8)</f>
        <v>0</v>
      </c>
      <c r="AJ41" s="43">
        <f>SUMIFS('Journal Entries'!$L:$L,'Journal Entries'!$K:$K,$C41,'Journal Entries'!$C:$C,"&lt;="&amp;AJ$8,'Journal Entries'!$C:$C,"&gt;"&amp;AI$8)</f>
        <v>0</v>
      </c>
      <c r="AK41" s="43">
        <f>SUMIFS('Journal Entries'!$L:$L,'Journal Entries'!$K:$K,$C41,'Journal Entries'!$C:$C,"&lt;="&amp;AK$8,'Journal Entries'!$C:$C,"&gt;"&amp;AJ$8)</f>
        <v>0</v>
      </c>
      <c r="AL41" s="43">
        <f>SUMIFS('Journal Entries'!$L:$L,'Journal Entries'!$K:$K,$C41,'Journal Entries'!$C:$C,"&lt;="&amp;AL$8,'Journal Entries'!$C:$C,"&gt;"&amp;AK$8)</f>
        <v>0</v>
      </c>
      <c r="AM41" s="43">
        <f>SUMIFS('Journal Entries'!$L:$L,'Journal Entries'!$K:$K,$C41,'Journal Entries'!$C:$C,"&lt;="&amp;AM$8,'Journal Entries'!$C:$C,"&gt;"&amp;AL$8)</f>
        <v>0</v>
      </c>
      <c r="AN41" s="43">
        <f>SUMIFS('Journal Entries'!$L:$L,'Journal Entries'!$K:$K,$C41,'Journal Entries'!$C:$C,"&lt;="&amp;AN$8,'Journal Entries'!$C:$C,"&gt;"&amp;AM$8)</f>
        <v>0</v>
      </c>
      <c r="AO41" s="43">
        <f>SUMIFS('Journal Entries'!$L:$L,'Journal Entries'!$K:$K,$C41,'Journal Entries'!$C:$C,"&lt;="&amp;AO$8,'Journal Entries'!$C:$C,"&gt;"&amp;AN$8)</f>
        <v>0</v>
      </c>
      <c r="AP41" s="43">
        <f>SUMIFS('Journal Entries'!$L:$L,'Journal Entries'!$K:$K,$C41,'Journal Entries'!$C:$C,"&lt;="&amp;AP$8,'Journal Entries'!$C:$C,"&gt;"&amp;AO$8)</f>
        <v>0</v>
      </c>
      <c r="AQ41" s="43">
        <f>SUMIFS('Journal Entries'!$L:$L,'Journal Entries'!$K:$K,$C41,'Journal Entries'!$C:$C,"&lt;="&amp;AQ$8,'Journal Entries'!$C:$C,"&gt;"&amp;AP$8)</f>
        <v>0</v>
      </c>
      <c r="AR41" s="43">
        <f>SUMIFS('Journal Entries'!$L:$L,'Journal Entries'!$K:$K,$C41,'Journal Entries'!$C:$C,"&lt;="&amp;AR$8,'Journal Entries'!$C:$C,"&gt;"&amp;AQ$8)</f>
        <v>0</v>
      </c>
      <c r="AS41" s="43">
        <f>SUMIFS('Journal Entries'!$L:$L,'Journal Entries'!$K:$K,$C41,'Journal Entries'!$C:$C,"&lt;="&amp;AS$8,'Journal Entries'!$C:$C,"&gt;"&amp;AR$8)</f>
        <v>0</v>
      </c>
      <c r="AT41" s="43">
        <f>SUMIFS('Journal Entries'!$L:$L,'Journal Entries'!$K:$K,$C41,'Journal Entries'!$C:$C,"&lt;="&amp;AT$8,'Journal Entries'!$C:$C,"&gt;"&amp;AS$8)</f>
        <v>0</v>
      </c>
      <c r="AU41" s="43">
        <f>SUMIFS('Journal Entries'!$L:$L,'Journal Entries'!$K:$K,$C41,'Journal Entries'!$C:$C,"&lt;="&amp;AU$8,'Journal Entries'!$C:$C,"&gt;"&amp;AT$8)</f>
        <v>0</v>
      </c>
      <c r="AV41" s="43">
        <f>SUMIFS('Journal Entries'!$L:$L,'Journal Entries'!$K:$K,$C41,'Journal Entries'!$C:$C,"&lt;="&amp;AV$8,'Journal Entries'!$C:$C,"&gt;"&amp;AU$8)</f>
        <v>0</v>
      </c>
      <c r="AW41" s="43">
        <f>SUMIFS('Journal Entries'!$L:$L,'Journal Entries'!$K:$K,$C41,'Journal Entries'!$C:$C,"&lt;="&amp;AW$8,'Journal Entries'!$C:$C,"&gt;"&amp;AV$8)</f>
        <v>0</v>
      </c>
      <c r="AX41" s="43">
        <f>SUMIFS('Journal Entries'!$L:$L,'Journal Entries'!$K:$K,$C41,'Journal Entries'!$C:$C,"&lt;="&amp;AX$8,'Journal Entries'!$C:$C,"&gt;"&amp;AW$8)</f>
        <v>0</v>
      </c>
      <c r="AY41" s="43">
        <f>SUMIFS('Journal Entries'!$L:$L,'Journal Entries'!$K:$K,$C41,'Journal Entries'!$C:$C,"&lt;="&amp;AY$8,'Journal Entries'!$C:$C,"&gt;"&amp;AX$8)</f>
        <v>0</v>
      </c>
      <c r="AZ41" s="43">
        <f>SUMIFS('Journal Entries'!$L:$L,'Journal Entries'!$K:$K,$C41,'Journal Entries'!$C:$C,"&lt;="&amp;AZ$8,'Journal Entries'!$C:$C,"&gt;"&amp;AY$8)</f>
        <v>0</v>
      </c>
      <c r="BA41" s="43">
        <f>SUMIFS('Journal Entries'!$L:$L,'Journal Entries'!$K:$K,$C41,'Journal Entries'!$C:$C,"&lt;="&amp;BA$8,'Journal Entries'!$C:$C,"&gt;"&amp;AZ$8)</f>
        <v>0</v>
      </c>
      <c r="BB41" s="43">
        <f>SUMIFS('Journal Entries'!$L:$L,'Journal Entries'!$K:$K,$C41,'Journal Entries'!$C:$C,"&lt;="&amp;BB$8,'Journal Entries'!$C:$C,"&gt;"&amp;BA$8)</f>
        <v>0</v>
      </c>
      <c r="BC41" s="43">
        <f>SUMIFS('Journal Entries'!$L:$L,'Journal Entries'!$K:$K,$C41,'Journal Entries'!$C:$C,"&lt;="&amp;BC$8,'Journal Entries'!$C:$C,"&gt;"&amp;BB$8)</f>
        <v>0</v>
      </c>
      <c r="BD41" s="43">
        <f>SUMIFS('Journal Entries'!$L:$L,'Journal Entries'!$K:$K,$C41,'Journal Entries'!$C:$C,"&lt;="&amp;BD$8,'Journal Entries'!$C:$C,"&gt;"&amp;BC$8)</f>
        <v>0</v>
      </c>
      <c r="BE41" s="43">
        <f>SUMIFS('Journal Entries'!$L:$L,'Journal Entries'!$K:$K,$C41,'Journal Entries'!$C:$C,"&lt;="&amp;BE$8,'Journal Entries'!$C:$C,"&gt;"&amp;BD$8)</f>
        <v>0</v>
      </c>
      <c r="BF41" s="43">
        <f>SUMIFS('Journal Entries'!$L:$L,'Journal Entries'!$K:$K,$C41,'Journal Entries'!$C:$C,"&lt;="&amp;BF$8,'Journal Entries'!$C:$C,"&gt;"&amp;BE$8)</f>
        <v>0</v>
      </c>
      <c r="BG41" s="43">
        <f>SUMIFS('Journal Entries'!$L:$L,'Journal Entries'!$K:$K,$C41,'Journal Entries'!$C:$C,"&lt;="&amp;BG$8,'Journal Entries'!$C:$C,"&gt;"&amp;BF$8)</f>
        <v>0</v>
      </c>
      <c r="BH41" s="43">
        <f>SUMIFS('Journal Entries'!$L:$L,'Journal Entries'!$K:$K,$C41,'Journal Entries'!$C:$C,"&lt;="&amp;BH$8,'Journal Entries'!$C:$C,"&gt;"&amp;BG$8)</f>
        <v>0</v>
      </c>
      <c r="BI41" s="43">
        <f>SUMIFS('Journal Entries'!$L:$L,'Journal Entries'!$K:$K,$C41,'Journal Entries'!$C:$C,"&lt;="&amp;BI$8,'Journal Entries'!$C:$C,"&gt;"&amp;BH$8)</f>
        <v>0</v>
      </c>
      <c r="BJ41" s="43">
        <f>SUMIFS('Journal Entries'!$L:$L,'Journal Entries'!$K:$K,$C41,'Journal Entries'!$C:$C,"&lt;="&amp;BJ$8,'Journal Entries'!$C:$C,"&gt;"&amp;BI$8)</f>
        <v>0</v>
      </c>
      <c r="BK41" s="43">
        <f>SUMIFS('Journal Entries'!$L:$L,'Journal Entries'!$K:$K,$C41,'Journal Entries'!$C:$C,"&lt;="&amp;BK$8,'Journal Entries'!$C:$C,"&gt;"&amp;BJ$8)</f>
        <v>0</v>
      </c>
      <c r="BL41" s="43">
        <f>SUMIFS('Journal Entries'!$L:$L,'Journal Entries'!$K:$K,$C41,'Journal Entries'!$C:$C,"&lt;="&amp;BL$8,'Journal Entries'!$C:$C,"&gt;"&amp;BK$8)</f>
        <v>0</v>
      </c>
    </row>
    <row r="42" spans="2:64" x14ac:dyDescent="0.25">
      <c r="B42" s="10">
        <v>2200</v>
      </c>
      <c r="C42" s="10" t="str">
        <f>VLOOKUP(B42,'Chart of Accounts'!$B$3:$C$95,2,0)</f>
        <v>Short-term borrowings</v>
      </c>
      <c r="D42" s="525">
        <f t="shared" si="2"/>
        <v>0</v>
      </c>
      <c r="E42" s="43">
        <f>SUMIFS('Journal Entries'!$L:$L,'Journal Entries'!$K:$K,$C42,'Journal Entries'!$C:$C,"&lt;="&amp;E$8,'Journal Entries'!$C:$C,"&gt;"&amp;D$8)</f>
        <v>0</v>
      </c>
      <c r="F42" s="43">
        <f>SUMIFS('Journal Entries'!$L:$L,'Journal Entries'!$K:$K,$C42,'Journal Entries'!$C:$C,"&lt;="&amp;F$8,'Journal Entries'!$C:$C,"&gt;"&amp;E$8)</f>
        <v>0</v>
      </c>
      <c r="G42" s="43">
        <f>SUMIFS('Journal Entries'!$L:$L,'Journal Entries'!$K:$K,$C42,'Journal Entries'!$C:$C,"&lt;="&amp;G$8,'Journal Entries'!$C:$C,"&gt;"&amp;F$8)</f>
        <v>0</v>
      </c>
      <c r="H42" s="43">
        <f>SUMIFS('Journal Entries'!$L:$L,'Journal Entries'!$K:$K,$C42,'Journal Entries'!$C:$C,"&lt;="&amp;H$8,'Journal Entries'!$C:$C,"&gt;"&amp;G$8)</f>
        <v>0</v>
      </c>
      <c r="I42" s="43">
        <f>SUMIFS('Journal Entries'!$L:$L,'Journal Entries'!$K:$K,$C42,'Journal Entries'!$C:$C,"&lt;="&amp;I$8,'Journal Entries'!$C:$C,"&gt;"&amp;H$8)</f>
        <v>0</v>
      </c>
      <c r="J42" s="43">
        <f>SUMIFS('Journal Entries'!$L:$L,'Journal Entries'!$K:$K,$C42,'Journal Entries'!$C:$C,"&lt;="&amp;J$8,'Journal Entries'!$C:$C,"&gt;"&amp;I$8)</f>
        <v>0</v>
      </c>
      <c r="K42" s="43">
        <f>SUMIFS('Journal Entries'!$L:$L,'Journal Entries'!$K:$K,$C42,'Journal Entries'!$C:$C,"&lt;="&amp;K$8,'Journal Entries'!$C:$C,"&gt;"&amp;J$8)</f>
        <v>0</v>
      </c>
      <c r="L42" s="43">
        <f>SUMIFS('Journal Entries'!$L:$L,'Journal Entries'!$K:$K,$C42,'Journal Entries'!$C:$C,"&lt;="&amp;L$8,'Journal Entries'!$C:$C,"&gt;"&amp;K$8)</f>
        <v>0</v>
      </c>
      <c r="M42" s="43">
        <f>SUMIFS('Journal Entries'!$L:$L,'Journal Entries'!$K:$K,$C42,'Journal Entries'!$C:$C,"&lt;="&amp;M$8,'Journal Entries'!$C:$C,"&gt;"&amp;L$8)</f>
        <v>0</v>
      </c>
      <c r="N42" s="43">
        <f>SUMIFS('Journal Entries'!$L:$L,'Journal Entries'!$K:$K,$C42,'Journal Entries'!$C:$C,"&lt;="&amp;N$8,'Journal Entries'!$C:$C,"&gt;"&amp;M$8)</f>
        <v>0</v>
      </c>
      <c r="O42" s="43">
        <f>SUMIFS('Journal Entries'!$L:$L,'Journal Entries'!$K:$K,$C42,'Journal Entries'!$C:$C,"&lt;="&amp;O$8,'Journal Entries'!$C:$C,"&gt;"&amp;N$8)</f>
        <v>0</v>
      </c>
      <c r="P42" s="43">
        <f>SUMIFS('Journal Entries'!$L:$L,'Journal Entries'!$K:$K,$C42,'Journal Entries'!$C:$C,"&lt;="&amp;P$8,'Journal Entries'!$C:$C,"&gt;"&amp;O$8)</f>
        <v>0</v>
      </c>
      <c r="Q42" s="43">
        <f>SUMIFS('Journal Entries'!$L:$L,'Journal Entries'!$K:$K,$C42,'Journal Entries'!$C:$C,"&lt;="&amp;Q$8,'Journal Entries'!$C:$C,"&gt;"&amp;P$8)</f>
        <v>0</v>
      </c>
      <c r="R42" s="43">
        <f>SUMIFS('Journal Entries'!$L:$L,'Journal Entries'!$K:$K,$C42,'Journal Entries'!$C:$C,"&lt;="&amp;R$8,'Journal Entries'!$C:$C,"&gt;"&amp;Q$8)</f>
        <v>0</v>
      </c>
      <c r="S42" s="43">
        <f>SUMIFS('Journal Entries'!$L:$L,'Journal Entries'!$K:$K,$C42,'Journal Entries'!$C:$C,"&lt;="&amp;S$8,'Journal Entries'!$C:$C,"&gt;"&amp;R$8)</f>
        <v>0</v>
      </c>
      <c r="T42" s="43">
        <f>SUMIFS('Journal Entries'!$L:$L,'Journal Entries'!$K:$K,$C42,'Journal Entries'!$C:$C,"&lt;="&amp;T$8,'Journal Entries'!$C:$C,"&gt;"&amp;S$8)</f>
        <v>0</v>
      </c>
      <c r="U42" s="43">
        <f>SUMIFS('Journal Entries'!$L:$L,'Journal Entries'!$K:$K,$C42,'Journal Entries'!$C:$C,"&lt;="&amp;U$8,'Journal Entries'!$C:$C,"&gt;"&amp;T$8)</f>
        <v>0</v>
      </c>
      <c r="V42" s="43">
        <f>SUMIFS('Journal Entries'!$L:$L,'Journal Entries'!$K:$K,$C42,'Journal Entries'!$C:$C,"&lt;="&amp;V$8,'Journal Entries'!$C:$C,"&gt;"&amp;U$8)</f>
        <v>0</v>
      </c>
      <c r="W42" s="43">
        <f>SUMIFS('Journal Entries'!$L:$L,'Journal Entries'!$K:$K,$C42,'Journal Entries'!$C:$C,"&lt;="&amp;W$8,'Journal Entries'!$C:$C,"&gt;"&amp;V$8)</f>
        <v>0</v>
      </c>
      <c r="X42" s="43">
        <f>SUMIFS('Journal Entries'!$L:$L,'Journal Entries'!$K:$K,$C42,'Journal Entries'!$C:$C,"&lt;="&amp;X$8,'Journal Entries'!$C:$C,"&gt;"&amp;W$8)</f>
        <v>0</v>
      </c>
      <c r="Y42" s="43">
        <f>SUMIFS('Journal Entries'!$L:$L,'Journal Entries'!$K:$K,$C42,'Journal Entries'!$C:$C,"&lt;="&amp;Y$8,'Journal Entries'!$C:$C,"&gt;"&amp;X$8)</f>
        <v>0</v>
      </c>
      <c r="Z42" s="43">
        <f>SUMIFS('Journal Entries'!$L:$L,'Journal Entries'!$K:$K,$C42,'Journal Entries'!$C:$C,"&lt;="&amp;Z$8,'Journal Entries'!$C:$C,"&gt;"&amp;Y$8)</f>
        <v>0</v>
      </c>
      <c r="AA42" s="43">
        <f>SUMIFS('Journal Entries'!$L:$L,'Journal Entries'!$K:$K,$C42,'Journal Entries'!$C:$C,"&lt;="&amp;AA$8,'Journal Entries'!$C:$C,"&gt;"&amp;Z$8)</f>
        <v>0</v>
      </c>
      <c r="AB42" s="43">
        <f>SUMIFS('Journal Entries'!$L:$L,'Journal Entries'!$K:$K,$C42,'Journal Entries'!$C:$C,"&lt;="&amp;AB$8,'Journal Entries'!$C:$C,"&gt;"&amp;AA$8)</f>
        <v>0</v>
      </c>
      <c r="AC42" s="43">
        <f>SUMIFS('Journal Entries'!$L:$L,'Journal Entries'!$K:$K,$C42,'Journal Entries'!$C:$C,"&lt;="&amp;AC$8,'Journal Entries'!$C:$C,"&gt;"&amp;AB$8)</f>
        <v>0</v>
      </c>
      <c r="AD42" s="43">
        <f>SUMIFS('Journal Entries'!$L:$L,'Journal Entries'!$K:$K,$C42,'Journal Entries'!$C:$C,"&lt;="&amp;AD$8,'Journal Entries'!$C:$C,"&gt;"&amp;AC$8)</f>
        <v>0</v>
      </c>
      <c r="AE42" s="43">
        <f>SUMIFS('Journal Entries'!$L:$L,'Journal Entries'!$K:$K,$C42,'Journal Entries'!$C:$C,"&lt;="&amp;AE$8,'Journal Entries'!$C:$C,"&gt;"&amp;AD$8)</f>
        <v>0</v>
      </c>
      <c r="AF42" s="43">
        <f>SUMIFS('Journal Entries'!$L:$L,'Journal Entries'!$K:$K,$C42,'Journal Entries'!$C:$C,"&lt;="&amp;AF$8,'Journal Entries'!$C:$C,"&gt;"&amp;AE$8)</f>
        <v>0</v>
      </c>
      <c r="AG42" s="43">
        <f>SUMIFS('Journal Entries'!$L:$L,'Journal Entries'!$K:$K,$C42,'Journal Entries'!$C:$C,"&lt;="&amp;AG$8,'Journal Entries'!$C:$C,"&gt;"&amp;AF$8)</f>
        <v>0</v>
      </c>
      <c r="AH42" s="43">
        <f>SUMIFS('Journal Entries'!$L:$L,'Journal Entries'!$K:$K,$C42,'Journal Entries'!$C:$C,"&lt;="&amp;AH$8,'Journal Entries'!$C:$C,"&gt;"&amp;AG$8)</f>
        <v>0</v>
      </c>
      <c r="AI42" s="43">
        <f>SUMIFS('Journal Entries'!$L:$L,'Journal Entries'!$K:$K,$C42,'Journal Entries'!$C:$C,"&lt;="&amp;AI$8,'Journal Entries'!$C:$C,"&gt;"&amp;AH$8)</f>
        <v>0</v>
      </c>
      <c r="AJ42" s="43">
        <f>SUMIFS('Journal Entries'!$L:$L,'Journal Entries'!$K:$K,$C42,'Journal Entries'!$C:$C,"&lt;="&amp;AJ$8,'Journal Entries'!$C:$C,"&gt;"&amp;AI$8)</f>
        <v>0</v>
      </c>
      <c r="AK42" s="43">
        <f>SUMIFS('Journal Entries'!$L:$L,'Journal Entries'!$K:$K,$C42,'Journal Entries'!$C:$C,"&lt;="&amp;AK$8,'Journal Entries'!$C:$C,"&gt;"&amp;AJ$8)</f>
        <v>0</v>
      </c>
      <c r="AL42" s="43">
        <f>SUMIFS('Journal Entries'!$L:$L,'Journal Entries'!$K:$K,$C42,'Journal Entries'!$C:$C,"&lt;="&amp;AL$8,'Journal Entries'!$C:$C,"&gt;"&amp;AK$8)</f>
        <v>0</v>
      </c>
      <c r="AM42" s="43">
        <f>SUMIFS('Journal Entries'!$L:$L,'Journal Entries'!$K:$K,$C42,'Journal Entries'!$C:$C,"&lt;="&amp;AM$8,'Journal Entries'!$C:$C,"&gt;"&amp;AL$8)</f>
        <v>0</v>
      </c>
      <c r="AN42" s="43">
        <f>SUMIFS('Journal Entries'!$L:$L,'Journal Entries'!$K:$K,$C42,'Journal Entries'!$C:$C,"&lt;="&amp;AN$8,'Journal Entries'!$C:$C,"&gt;"&amp;AM$8)</f>
        <v>0</v>
      </c>
      <c r="AO42" s="43">
        <f>SUMIFS('Journal Entries'!$L:$L,'Journal Entries'!$K:$K,$C42,'Journal Entries'!$C:$C,"&lt;="&amp;AO$8,'Journal Entries'!$C:$C,"&gt;"&amp;AN$8)</f>
        <v>0</v>
      </c>
      <c r="AP42" s="43">
        <f>SUMIFS('Journal Entries'!$L:$L,'Journal Entries'!$K:$K,$C42,'Journal Entries'!$C:$C,"&lt;="&amp;AP$8,'Journal Entries'!$C:$C,"&gt;"&amp;AO$8)</f>
        <v>0</v>
      </c>
      <c r="AQ42" s="43">
        <f>SUMIFS('Journal Entries'!$L:$L,'Journal Entries'!$K:$K,$C42,'Journal Entries'!$C:$C,"&lt;="&amp;AQ$8,'Journal Entries'!$C:$C,"&gt;"&amp;AP$8)</f>
        <v>0</v>
      </c>
      <c r="AR42" s="43">
        <f>SUMIFS('Journal Entries'!$L:$L,'Journal Entries'!$K:$K,$C42,'Journal Entries'!$C:$C,"&lt;="&amp;AR$8,'Journal Entries'!$C:$C,"&gt;"&amp;AQ$8)</f>
        <v>0</v>
      </c>
      <c r="AS42" s="43">
        <f>SUMIFS('Journal Entries'!$L:$L,'Journal Entries'!$K:$K,$C42,'Journal Entries'!$C:$C,"&lt;="&amp;AS$8,'Journal Entries'!$C:$C,"&gt;"&amp;AR$8)</f>
        <v>0</v>
      </c>
      <c r="AT42" s="43">
        <f>SUMIFS('Journal Entries'!$L:$L,'Journal Entries'!$K:$K,$C42,'Journal Entries'!$C:$C,"&lt;="&amp;AT$8,'Journal Entries'!$C:$C,"&gt;"&amp;AS$8)</f>
        <v>0</v>
      </c>
      <c r="AU42" s="43">
        <f>SUMIFS('Journal Entries'!$L:$L,'Journal Entries'!$K:$K,$C42,'Journal Entries'!$C:$C,"&lt;="&amp;AU$8,'Journal Entries'!$C:$C,"&gt;"&amp;AT$8)</f>
        <v>0</v>
      </c>
      <c r="AV42" s="43">
        <f>SUMIFS('Journal Entries'!$L:$L,'Journal Entries'!$K:$K,$C42,'Journal Entries'!$C:$C,"&lt;="&amp;AV$8,'Journal Entries'!$C:$C,"&gt;"&amp;AU$8)</f>
        <v>0</v>
      </c>
      <c r="AW42" s="43">
        <f>SUMIFS('Journal Entries'!$L:$L,'Journal Entries'!$K:$K,$C42,'Journal Entries'!$C:$C,"&lt;="&amp;AW$8,'Journal Entries'!$C:$C,"&gt;"&amp;AV$8)</f>
        <v>0</v>
      </c>
      <c r="AX42" s="43">
        <f>SUMIFS('Journal Entries'!$L:$L,'Journal Entries'!$K:$K,$C42,'Journal Entries'!$C:$C,"&lt;="&amp;AX$8,'Journal Entries'!$C:$C,"&gt;"&amp;AW$8)</f>
        <v>0</v>
      </c>
      <c r="AY42" s="43">
        <f>SUMIFS('Journal Entries'!$L:$L,'Journal Entries'!$K:$K,$C42,'Journal Entries'!$C:$C,"&lt;="&amp;AY$8,'Journal Entries'!$C:$C,"&gt;"&amp;AX$8)</f>
        <v>0</v>
      </c>
      <c r="AZ42" s="43">
        <f>SUMIFS('Journal Entries'!$L:$L,'Journal Entries'!$K:$K,$C42,'Journal Entries'!$C:$C,"&lt;="&amp;AZ$8,'Journal Entries'!$C:$C,"&gt;"&amp;AY$8)</f>
        <v>0</v>
      </c>
      <c r="BA42" s="43">
        <f>SUMIFS('Journal Entries'!$L:$L,'Journal Entries'!$K:$K,$C42,'Journal Entries'!$C:$C,"&lt;="&amp;BA$8,'Journal Entries'!$C:$C,"&gt;"&amp;AZ$8)</f>
        <v>0</v>
      </c>
      <c r="BB42" s="43">
        <f>SUMIFS('Journal Entries'!$L:$L,'Journal Entries'!$K:$K,$C42,'Journal Entries'!$C:$C,"&lt;="&amp;BB$8,'Journal Entries'!$C:$C,"&gt;"&amp;BA$8)</f>
        <v>0</v>
      </c>
      <c r="BC42" s="43">
        <f>SUMIFS('Journal Entries'!$L:$L,'Journal Entries'!$K:$K,$C42,'Journal Entries'!$C:$C,"&lt;="&amp;BC$8,'Journal Entries'!$C:$C,"&gt;"&amp;BB$8)</f>
        <v>0</v>
      </c>
      <c r="BD42" s="43">
        <f>SUMIFS('Journal Entries'!$L:$L,'Journal Entries'!$K:$K,$C42,'Journal Entries'!$C:$C,"&lt;="&amp;BD$8,'Journal Entries'!$C:$C,"&gt;"&amp;BC$8)</f>
        <v>0</v>
      </c>
      <c r="BE42" s="43">
        <f>SUMIFS('Journal Entries'!$L:$L,'Journal Entries'!$K:$K,$C42,'Journal Entries'!$C:$C,"&lt;="&amp;BE$8,'Journal Entries'!$C:$C,"&gt;"&amp;BD$8)</f>
        <v>0</v>
      </c>
      <c r="BF42" s="43">
        <f>SUMIFS('Journal Entries'!$L:$L,'Journal Entries'!$K:$K,$C42,'Journal Entries'!$C:$C,"&lt;="&amp;BF$8,'Journal Entries'!$C:$C,"&gt;"&amp;BE$8)</f>
        <v>0</v>
      </c>
      <c r="BG42" s="43">
        <f>SUMIFS('Journal Entries'!$L:$L,'Journal Entries'!$K:$K,$C42,'Journal Entries'!$C:$C,"&lt;="&amp;BG$8,'Journal Entries'!$C:$C,"&gt;"&amp;BF$8)</f>
        <v>0</v>
      </c>
      <c r="BH42" s="43">
        <f>SUMIFS('Journal Entries'!$L:$L,'Journal Entries'!$K:$K,$C42,'Journal Entries'!$C:$C,"&lt;="&amp;BH$8,'Journal Entries'!$C:$C,"&gt;"&amp;BG$8)</f>
        <v>0</v>
      </c>
      <c r="BI42" s="43">
        <f>SUMIFS('Journal Entries'!$L:$L,'Journal Entries'!$K:$K,$C42,'Journal Entries'!$C:$C,"&lt;="&amp;BI$8,'Journal Entries'!$C:$C,"&gt;"&amp;BH$8)</f>
        <v>0</v>
      </c>
      <c r="BJ42" s="43">
        <f>SUMIFS('Journal Entries'!$L:$L,'Journal Entries'!$K:$K,$C42,'Journal Entries'!$C:$C,"&lt;="&amp;BJ$8,'Journal Entries'!$C:$C,"&gt;"&amp;BI$8)</f>
        <v>0</v>
      </c>
      <c r="BK42" s="43">
        <f>SUMIFS('Journal Entries'!$L:$L,'Journal Entries'!$K:$K,$C42,'Journal Entries'!$C:$C,"&lt;="&amp;BK$8,'Journal Entries'!$C:$C,"&gt;"&amp;BJ$8)</f>
        <v>0</v>
      </c>
      <c r="BL42" s="43">
        <f>SUMIFS('Journal Entries'!$L:$L,'Journal Entries'!$K:$K,$C42,'Journal Entries'!$C:$C,"&lt;="&amp;BL$8,'Journal Entries'!$C:$C,"&gt;"&amp;BK$8)</f>
        <v>0</v>
      </c>
    </row>
    <row r="43" spans="2:64" x14ac:dyDescent="0.25">
      <c r="B43" s="10">
        <v>3000</v>
      </c>
      <c r="C43" s="10" t="str">
        <f>VLOOKUP(B43,'Chart of Accounts'!$B$3:$C$95,2,0)</f>
        <v>Investor contributions</v>
      </c>
      <c r="D43" s="525">
        <f t="shared" si="2"/>
        <v>-15000000</v>
      </c>
      <c r="E43" s="43">
        <f>SUMIFS('Journal Entries'!$L:$L,'Journal Entries'!$K:$K,$C43,'Journal Entries'!$C:$C,"&lt;="&amp;E$8,'Journal Entries'!$C:$C,"&gt;"&amp;D$8)</f>
        <v>-5600000</v>
      </c>
      <c r="F43" s="43">
        <f>SUMIFS('Journal Entries'!$L:$L,'Journal Entries'!$K:$K,$C43,'Journal Entries'!$C:$C,"&lt;="&amp;F$8,'Journal Entries'!$C:$C,"&gt;"&amp;E$8)</f>
        <v>0</v>
      </c>
      <c r="G43" s="43">
        <f>SUMIFS('Journal Entries'!$L:$L,'Journal Entries'!$K:$K,$C43,'Journal Entries'!$C:$C,"&lt;="&amp;G$8,'Journal Entries'!$C:$C,"&gt;"&amp;F$8)</f>
        <v>0</v>
      </c>
      <c r="H43" s="43">
        <f>SUMIFS('Journal Entries'!$L:$L,'Journal Entries'!$K:$K,$C43,'Journal Entries'!$C:$C,"&lt;="&amp;H$8,'Journal Entries'!$C:$C,"&gt;"&amp;G$8)</f>
        <v>0</v>
      </c>
      <c r="I43" s="43">
        <f>SUMIFS('Journal Entries'!$L:$L,'Journal Entries'!$K:$K,$C43,'Journal Entries'!$C:$C,"&lt;="&amp;I$8,'Journal Entries'!$C:$C,"&gt;"&amp;H$8)</f>
        <v>-9400000</v>
      </c>
      <c r="J43" s="43">
        <f>SUMIFS('Journal Entries'!$L:$L,'Journal Entries'!$K:$K,$C43,'Journal Entries'!$C:$C,"&lt;="&amp;J$8,'Journal Entries'!$C:$C,"&gt;"&amp;I$8)</f>
        <v>0</v>
      </c>
      <c r="K43" s="43">
        <f>SUMIFS('Journal Entries'!$L:$L,'Journal Entries'!$K:$K,$C43,'Journal Entries'!$C:$C,"&lt;="&amp;K$8,'Journal Entries'!$C:$C,"&gt;"&amp;J$8)</f>
        <v>0</v>
      </c>
      <c r="L43" s="43">
        <f>SUMIFS('Journal Entries'!$L:$L,'Journal Entries'!$K:$K,$C43,'Journal Entries'!$C:$C,"&lt;="&amp;L$8,'Journal Entries'!$C:$C,"&gt;"&amp;K$8)</f>
        <v>0</v>
      </c>
      <c r="M43" s="43">
        <f>SUMIFS('Journal Entries'!$L:$L,'Journal Entries'!$K:$K,$C43,'Journal Entries'!$C:$C,"&lt;="&amp;M$8,'Journal Entries'!$C:$C,"&gt;"&amp;L$8)</f>
        <v>0</v>
      </c>
      <c r="N43" s="43">
        <f>SUMIFS('Journal Entries'!$L:$L,'Journal Entries'!$K:$K,$C43,'Journal Entries'!$C:$C,"&lt;="&amp;N$8,'Journal Entries'!$C:$C,"&gt;"&amp;M$8)</f>
        <v>0</v>
      </c>
      <c r="O43" s="43">
        <f>SUMIFS('Journal Entries'!$L:$L,'Journal Entries'!$K:$K,$C43,'Journal Entries'!$C:$C,"&lt;="&amp;O$8,'Journal Entries'!$C:$C,"&gt;"&amp;N$8)</f>
        <v>0</v>
      </c>
      <c r="P43" s="43">
        <f>SUMIFS('Journal Entries'!$L:$L,'Journal Entries'!$K:$K,$C43,'Journal Entries'!$C:$C,"&lt;="&amp;P$8,'Journal Entries'!$C:$C,"&gt;"&amp;O$8)</f>
        <v>0</v>
      </c>
      <c r="Q43" s="43">
        <f>SUMIFS('Journal Entries'!$L:$L,'Journal Entries'!$K:$K,$C43,'Journal Entries'!$C:$C,"&lt;="&amp;Q$8,'Journal Entries'!$C:$C,"&gt;"&amp;P$8)</f>
        <v>0</v>
      </c>
      <c r="R43" s="43">
        <f>SUMIFS('Journal Entries'!$L:$L,'Journal Entries'!$K:$K,$C43,'Journal Entries'!$C:$C,"&lt;="&amp;R$8,'Journal Entries'!$C:$C,"&gt;"&amp;Q$8)</f>
        <v>0</v>
      </c>
      <c r="S43" s="43">
        <f>SUMIFS('Journal Entries'!$L:$L,'Journal Entries'!$K:$K,$C43,'Journal Entries'!$C:$C,"&lt;="&amp;S$8,'Journal Entries'!$C:$C,"&gt;"&amp;R$8)</f>
        <v>0</v>
      </c>
      <c r="T43" s="43">
        <f>SUMIFS('Journal Entries'!$L:$L,'Journal Entries'!$K:$K,$C43,'Journal Entries'!$C:$C,"&lt;="&amp;T$8,'Journal Entries'!$C:$C,"&gt;"&amp;S$8)</f>
        <v>0</v>
      </c>
      <c r="U43" s="43">
        <f>SUMIFS('Journal Entries'!$L:$L,'Journal Entries'!$K:$K,$C43,'Journal Entries'!$C:$C,"&lt;="&amp;U$8,'Journal Entries'!$C:$C,"&gt;"&amp;T$8)</f>
        <v>0</v>
      </c>
      <c r="V43" s="43">
        <f>SUMIFS('Journal Entries'!$L:$L,'Journal Entries'!$K:$K,$C43,'Journal Entries'!$C:$C,"&lt;="&amp;V$8,'Journal Entries'!$C:$C,"&gt;"&amp;U$8)</f>
        <v>0</v>
      </c>
      <c r="W43" s="43">
        <f>SUMIFS('Journal Entries'!$L:$L,'Journal Entries'!$K:$K,$C43,'Journal Entries'!$C:$C,"&lt;="&amp;W$8,'Journal Entries'!$C:$C,"&gt;"&amp;V$8)</f>
        <v>0</v>
      </c>
      <c r="X43" s="43">
        <f>SUMIFS('Journal Entries'!$L:$L,'Journal Entries'!$K:$K,$C43,'Journal Entries'!$C:$C,"&lt;="&amp;X$8,'Journal Entries'!$C:$C,"&gt;"&amp;W$8)</f>
        <v>0</v>
      </c>
      <c r="Y43" s="43">
        <f>SUMIFS('Journal Entries'!$L:$L,'Journal Entries'!$K:$K,$C43,'Journal Entries'!$C:$C,"&lt;="&amp;Y$8,'Journal Entries'!$C:$C,"&gt;"&amp;X$8)</f>
        <v>0</v>
      </c>
      <c r="Z43" s="43">
        <f>SUMIFS('Journal Entries'!$L:$L,'Journal Entries'!$K:$K,$C43,'Journal Entries'!$C:$C,"&lt;="&amp;Z$8,'Journal Entries'!$C:$C,"&gt;"&amp;Y$8)</f>
        <v>0</v>
      </c>
      <c r="AA43" s="43">
        <f>SUMIFS('Journal Entries'!$L:$L,'Journal Entries'!$K:$K,$C43,'Journal Entries'!$C:$C,"&lt;="&amp;AA$8,'Journal Entries'!$C:$C,"&gt;"&amp;Z$8)</f>
        <v>0</v>
      </c>
      <c r="AB43" s="43">
        <f>SUMIFS('Journal Entries'!$L:$L,'Journal Entries'!$K:$K,$C43,'Journal Entries'!$C:$C,"&lt;="&amp;AB$8,'Journal Entries'!$C:$C,"&gt;"&amp;AA$8)</f>
        <v>0</v>
      </c>
      <c r="AC43" s="43">
        <f>SUMIFS('Journal Entries'!$L:$L,'Journal Entries'!$K:$K,$C43,'Journal Entries'!$C:$C,"&lt;="&amp;AC$8,'Journal Entries'!$C:$C,"&gt;"&amp;AB$8)</f>
        <v>0</v>
      </c>
      <c r="AD43" s="43">
        <f>SUMIFS('Journal Entries'!$L:$L,'Journal Entries'!$K:$K,$C43,'Journal Entries'!$C:$C,"&lt;="&amp;AD$8,'Journal Entries'!$C:$C,"&gt;"&amp;AC$8)</f>
        <v>0</v>
      </c>
      <c r="AE43" s="43">
        <f>SUMIFS('Journal Entries'!$L:$L,'Journal Entries'!$K:$K,$C43,'Journal Entries'!$C:$C,"&lt;="&amp;AE$8,'Journal Entries'!$C:$C,"&gt;"&amp;AD$8)</f>
        <v>0</v>
      </c>
      <c r="AF43" s="43">
        <f>SUMIFS('Journal Entries'!$L:$L,'Journal Entries'!$K:$K,$C43,'Journal Entries'!$C:$C,"&lt;="&amp;AF$8,'Journal Entries'!$C:$C,"&gt;"&amp;AE$8)</f>
        <v>0</v>
      </c>
      <c r="AG43" s="43">
        <f>SUMIFS('Journal Entries'!$L:$L,'Journal Entries'!$K:$K,$C43,'Journal Entries'!$C:$C,"&lt;="&amp;AG$8,'Journal Entries'!$C:$C,"&gt;"&amp;AF$8)</f>
        <v>0</v>
      </c>
      <c r="AH43" s="43">
        <f>SUMIFS('Journal Entries'!$L:$L,'Journal Entries'!$K:$K,$C43,'Journal Entries'!$C:$C,"&lt;="&amp;AH$8,'Journal Entries'!$C:$C,"&gt;"&amp;AG$8)</f>
        <v>0</v>
      </c>
      <c r="AI43" s="43">
        <f>SUMIFS('Journal Entries'!$L:$L,'Journal Entries'!$K:$K,$C43,'Journal Entries'!$C:$C,"&lt;="&amp;AI$8,'Journal Entries'!$C:$C,"&gt;"&amp;AH$8)</f>
        <v>0</v>
      </c>
      <c r="AJ43" s="43">
        <f>SUMIFS('Journal Entries'!$L:$L,'Journal Entries'!$K:$K,$C43,'Journal Entries'!$C:$C,"&lt;="&amp;AJ$8,'Journal Entries'!$C:$C,"&gt;"&amp;AI$8)</f>
        <v>0</v>
      </c>
      <c r="AK43" s="43">
        <f>SUMIFS('Journal Entries'!$L:$L,'Journal Entries'!$K:$K,$C43,'Journal Entries'!$C:$C,"&lt;="&amp;AK$8,'Journal Entries'!$C:$C,"&gt;"&amp;AJ$8)</f>
        <v>0</v>
      </c>
      <c r="AL43" s="43">
        <f>SUMIFS('Journal Entries'!$L:$L,'Journal Entries'!$K:$K,$C43,'Journal Entries'!$C:$C,"&lt;="&amp;AL$8,'Journal Entries'!$C:$C,"&gt;"&amp;AK$8)</f>
        <v>0</v>
      </c>
      <c r="AM43" s="43">
        <f>SUMIFS('Journal Entries'!$L:$L,'Journal Entries'!$K:$K,$C43,'Journal Entries'!$C:$C,"&lt;="&amp;AM$8,'Journal Entries'!$C:$C,"&gt;"&amp;AL$8)</f>
        <v>0</v>
      </c>
      <c r="AN43" s="43">
        <f>SUMIFS('Journal Entries'!$L:$L,'Journal Entries'!$K:$K,$C43,'Journal Entries'!$C:$C,"&lt;="&amp;AN$8,'Journal Entries'!$C:$C,"&gt;"&amp;AM$8)</f>
        <v>0</v>
      </c>
      <c r="AO43" s="43">
        <f>SUMIFS('Journal Entries'!$L:$L,'Journal Entries'!$K:$K,$C43,'Journal Entries'!$C:$C,"&lt;="&amp;AO$8,'Journal Entries'!$C:$C,"&gt;"&amp;AN$8)</f>
        <v>0</v>
      </c>
      <c r="AP43" s="43">
        <f>SUMIFS('Journal Entries'!$L:$L,'Journal Entries'!$K:$K,$C43,'Journal Entries'!$C:$C,"&lt;="&amp;AP$8,'Journal Entries'!$C:$C,"&gt;"&amp;AO$8)</f>
        <v>0</v>
      </c>
      <c r="AQ43" s="43">
        <f>SUMIFS('Journal Entries'!$L:$L,'Journal Entries'!$K:$K,$C43,'Journal Entries'!$C:$C,"&lt;="&amp;AQ$8,'Journal Entries'!$C:$C,"&gt;"&amp;AP$8)</f>
        <v>0</v>
      </c>
      <c r="AR43" s="43">
        <f>SUMIFS('Journal Entries'!$L:$L,'Journal Entries'!$K:$K,$C43,'Journal Entries'!$C:$C,"&lt;="&amp;AR$8,'Journal Entries'!$C:$C,"&gt;"&amp;AQ$8)</f>
        <v>0</v>
      </c>
      <c r="AS43" s="43">
        <f>SUMIFS('Journal Entries'!$L:$L,'Journal Entries'!$K:$K,$C43,'Journal Entries'!$C:$C,"&lt;="&amp;AS$8,'Journal Entries'!$C:$C,"&gt;"&amp;AR$8)</f>
        <v>0</v>
      </c>
      <c r="AT43" s="43">
        <f>SUMIFS('Journal Entries'!$L:$L,'Journal Entries'!$K:$K,$C43,'Journal Entries'!$C:$C,"&lt;="&amp;AT$8,'Journal Entries'!$C:$C,"&gt;"&amp;AS$8)</f>
        <v>0</v>
      </c>
      <c r="AU43" s="43">
        <f>SUMIFS('Journal Entries'!$L:$L,'Journal Entries'!$K:$K,$C43,'Journal Entries'!$C:$C,"&lt;="&amp;AU$8,'Journal Entries'!$C:$C,"&gt;"&amp;AT$8)</f>
        <v>0</v>
      </c>
      <c r="AV43" s="43">
        <f>SUMIFS('Journal Entries'!$L:$L,'Journal Entries'!$K:$K,$C43,'Journal Entries'!$C:$C,"&lt;="&amp;AV$8,'Journal Entries'!$C:$C,"&gt;"&amp;AU$8)</f>
        <v>0</v>
      </c>
      <c r="AW43" s="43">
        <f>SUMIFS('Journal Entries'!$L:$L,'Journal Entries'!$K:$K,$C43,'Journal Entries'!$C:$C,"&lt;="&amp;AW$8,'Journal Entries'!$C:$C,"&gt;"&amp;AV$8)</f>
        <v>0</v>
      </c>
      <c r="AX43" s="43">
        <f>SUMIFS('Journal Entries'!$L:$L,'Journal Entries'!$K:$K,$C43,'Journal Entries'!$C:$C,"&lt;="&amp;AX$8,'Journal Entries'!$C:$C,"&gt;"&amp;AW$8)</f>
        <v>0</v>
      </c>
      <c r="AY43" s="43">
        <f>SUMIFS('Journal Entries'!$L:$L,'Journal Entries'!$K:$K,$C43,'Journal Entries'!$C:$C,"&lt;="&amp;AY$8,'Journal Entries'!$C:$C,"&gt;"&amp;AX$8)</f>
        <v>0</v>
      </c>
      <c r="AZ43" s="43">
        <f>SUMIFS('Journal Entries'!$L:$L,'Journal Entries'!$K:$K,$C43,'Journal Entries'!$C:$C,"&lt;="&amp;AZ$8,'Journal Entries'!$C:$C,"&gt;"&amp;AY$8)</f>
        <v>0</v>
      </c>
      <c r="BA43" s="43">
        <f>SUMIFS('Journal Entries'!$L:$L,'Journal Entries'!$K:$K,$C43,'Journal Entries'!$C:$C,"&lt;="&amp;BA$8,'Journal Entries'!$C:$C,"&gt;"&amp;AZ$8)</f>
        <v>0</v>
      </c>
      <c r="BB43" s="43">
        <f>SUMIFS('Journal Entries'!$L:$L,'Journal Entries'!$K:$K,$C43,'Journal Entries'!$C:$C,"&lt;="&amp;BB$8,'Journal Entries'!$C:$C,"&gt;"&amp;BA$8)</f>
        <v>0</v>
      </c>
      <c r="BC43" s="43">
        <f>SUMIFS('Journal Entries'!$L:$L,'Journal Entries'!$K:$K,$C43,'Journal Entries'!$C:$C,"&lt;="&amp;BC$8,'Journal Entries'!$C:$C,"&gt;"&amp;BB$8)</f>
        <v>0</v>
      </c>
      <c r="BD43" s="43">
        <f>SUMIFS('Journal Entries'!$L:$L,'Journal Entries'!$K:$K,$C43,'Journal Entries'!$C:$C,"&lt;="&amp;BD$8,'Journal Entries'!$C:$C,"&gt;"&amp;BC$8)</f>
        <v>0</v>
      </c>
      <c r="BE43" s="43">
        <f>SUMIFS('Journal Entries'!$L:$L,'Journal Entries'!$K:$K,$C43,'Journal Entries'!$C:$C,"&lt;="&amp;BE$8,'Journal Entries'!$C:$C,"&gt;"&amp;BD$8)</f>
        <v>0</v>
      </c>
      <c r="BF43" s="43">
        <f>SUMIFS('Journal Entries'!$L:$L,'Journal Entries'!$K:$K,$C43,'Journal Entries'!$C:$C,"&lt;="&amp;BF$8,'Journal Entries'!$C:$C,"&gt;"&amp;BE$8)</f>
        <v>0</v>
      </c>
      <c r="BG43" s="43">
        <f>SUMIFS('Journal Entries'!$L:$L,'Journal Entries'!$K:$K,$C43,'Journal Entries'!$C:$C,"&lt;="&amp;BG$8,'Journal Entries'!$C:$C,"&gt;"&amp;BF$8)</f>
        <v>0</v>
      </c>
      <c r="BH43" s="43">
        <f>SUMIFS('Journal Entries'!$L:$L,'Journal Entries'!$K:$K,$C43,'Journal Entries'!$C:$C,"&lt;="&amp;BH$8,'Journal Entries'!$C:$C,"&gt;"&amp;BG$8)</f>
        <v>0</v>
      </c>
      <c r="BI43" s="43">
        <f>SUMIFS('Journal Entries'!$L:$L,'Journal Entries'!$K:$K,$C43,'Journal Entries'!$C:$C,"&lt;="&amp;BI$8,'Journal Entries'!$C:$C,"&gt;"&amp;BH$8)</f>
        <v>0</v>
      </c>
      <c r="BJ43" s="43">
        <f>SUMIFS('Journal Entries'!$L:$L,'Journal Entries'!$K:$K,$C43,'Journal Entries'!$C:$C,"&lt;="&amp;BJ$8,'Journal Entries'!$C:$C,"&gt;"&amp;BI$8)</f>
        <v>0</v>
      </c>
      <c r="BK43" s="43">
        <f>SUMIFS('Journal Entries'!$L:$L,'Journal Entries'!$K:$K,$C43,'Journal Entries'!$C:$C,"&lt;="&amp;BK$8,'Journal Entries'!$C:$C,"&gt;"&amp;BJ$8)</f>
        <v>0</v>
      </c>
      <c r="BL43" s="43">
        <f>SUMIFS('Journal Entries'!$L:$L,'Journal Entries'!$K:$K,$C43,'Journal Entries'!$C:$C,"&lt;="&amp;BL$8,'Journal Entries'!$C:$C,"&gt;"&amp;BK$8)</f>
        <v>0</v>
      </c>
    </row>
    <row r="44" spans="2:64" x14ac:dyDescent="0.25">
      <c r="B44" s="10">
        <v>3010</v>
      </c>
      <c r="C44" s="10" t="str">
        <f>VLOOKUP(B44,'Chart of Accounts'!$B$3:$C$95,2,0)</f>
        <v>Investor redemptions</v>
      </c>
      <c r="D44" s="525">
        <f t="shared" si="2"/>
        <v>10113833.090072921</v>
      </c>
      <c r="E44" s="43">
        <f>SUMIFS('Journal Entries'!$L:$L,'Journal Entries'!$K:$K,$C44,'Journal Entries'!$C:$C,"&lt;="&amp;E$8,'Journal Entries'!$C:$C,"&gt;"&amp;D$8)</f>
        <v>0</v>
      </c>
      <c r="F44" s="43">
        <f>SUMIFS('Journal Entries'!$L:$L,'Journal Entries'!$K:$K,$C44,'Journal Entries'!$C:$C,"&lt;="&amp;F$8,'Journal Entries'!$C:$C,"&gt;"&amp;E$8)</f>
        <v>0</v>
      </c>
      <c r="G44" s="43">
        <f>SUMIFS('Journal Entries'!$L:$L,'Journal Entries'!$K:$K,$C44,'Journal Entries'!$C:$C,"&lt;="&amp;G$8,'Journal Entries'!$C:$C,"&gt;"&amp;F$8)</f>
        <v>0</v>
      </c>
      <c r="H44" s="43">
        <f>SUMIFS('Journal Entries'!$L:$L,'Journal Entries'!$K:$K,$C44,'Journal Entries'!$C:$C,"&lt;="&amp;H$8,'Journal Entries'!$C:$C,"&gt;"&amp;G$8)</f>
        <v>0</v>
      </c>
      <c r="I44" s="43">
        <f>SUMIFS('Journal Entries'!$L:$L,'Journal Entries'!$K:$K,$C44,'Journal Entries'!$C:$C,"&lt;="&amp;I$8,'Journal Entries'!$C:$C,"&gt;"&amp;H$8)</f>
        <v>0</v>
      </c>
      <c r="J44" s="43">
        <f>SUMIFS('Journal Entries'!$L:$L,'Journal Entries'!$K:$K,$C44,'Journal Entries'!$C:$C,"&lt;="&amp;J$8,'Journal Entries'!$C:$C,"&gt;"&amp;I$8)</f>
        <v>0</v>
      </c>
      <c r="K44" s="43">
        <f>SUMIFS('Journal Entries'!$L:$L,'Journal Entries'!$K:$K,$C44,'Journal Entries'!$C:$C,"&lt;="&amp;K$8,'Journal Entries'!$C:$C,"&gt;"&amp;J$8)</f>
        <v>0</v>
      </c>
      <c r="L44" s="43">
        <f>SUMIFS('Journal Entries'!$L:$L,'Journal Entries'!$K:$K,$C44,'Journal Entries'!$C:$C,"&lt;="&amp;L$8,'Journal Entries'!$C:$C,"&gt;"&amp;K$8)</f>
        <v>0</v>
      </c>
      <c r="M44" s="43">
        <f>SUMIFS('Journal Entries'!$L:$L,'Journal Entries'!$K:$K,$C44,'Journal Entries'!$C:$C,"&lt;="&amp;M$8,'Journal Entries'!$C:$C,"&gt;"&amp;L$8)</f>
        <v>0</v>
      </c>
      <c r="N44" s="43">
        <f>SUMIFS('Journal Entries'!$L:$L,'Journal Entries'!$K:$K,$C44,'Journal Entries'!$C:$C,"&lt;="&amp;N$8,'Journal Entries'!$C:$C,"&gt;"&amp;M$8)</f>
        <v>0</v>
      </c>
      <c r="O44" s="43">
        <f>SUMIFS('Journal Entries'!$L:$L,'Journal Entries'!$K:$K,$C44,'Journal Entries'!$C:$C,"&lt;="&amp;O$8,'Journal Entries'!$C:$C,"&gt;"&amp;N$8)</f>
        <v>0</v>
      </c>
      <c r="P44" s="43">
        <f>SUMIFS('Journal Entries'!$L:$L,'Journal Entries'!$K:$K,$C44,'Journal Entries'!$C:$C,"&lt;="&amp;P$8,'Journal Entries'!$C:$C,"&gt;"&amp;O$8)</f>
        <v>10113833.090072921</v>
      </c>
      <c r="Q44" s="43">
        <f>SUMIFS('Journal Entries'!$L:$L,'Journal Entries'!$K:$K,$C44,'Journal Entries'!$C:$C,"&lt;="&amp;Q$8,'Journal Entries'!$C:$C,"&gt;"&amp;P$8)</f>
        <v>0</v>
      </c>
      <c r="R44" s="43">
        <f>SUMIFS('Journal Entries'!$L:$L,'Journal Entries'!$K:$K,$C44,'Journal Entries'!$C:$C,"&lt;="&amp;R$8,'Journal Entries'!$C:$C,"&gt;"&amp;Q$8)</f>
        <v>0</v>
      </c>
      <c r="S44" s="43">
        <f>SUMIFS('Journal Entries'!$L:$L,'Journal Entries'!$K:$K,$C44,'Journal Entries'!$C:$C,"&lt;="&amp;S$8,'Journal Entries'!$C:$C,"&gt;"&amp;R$8)</f>
        <v>0</v>
      </c>
      <c r="T44" s="43">
        <f>SUMIFS('Journal Entries'!$L:$L,'Journal Entries'!$K:$K,$C44,'Journal Entries'!$C:$C,"&lt;="&amp;T$8,'Journal Entries'!$C:$C,"&gt;"&amp;S$8)</f>
        <v>0</v>
      </c>
      <c r="U44" s="43">
        <f>SUMIFS('Journal Entries'!$L:$L,'Journal Entries'!$K:$K,$C44,'Journal Entries'!$C:$C,"&lt;="&amp;U$8,'Journal Entries'!$C:$C,"&gt;"&amp;T$8)</f>
        <v>0</v>
      </c>
      <c r="V44" s="43">
        <f>SUMIFS('Journal Entries'!$L:$L,'Journal Entries'!$K:$K,$C44,'Journal Entries'!$C:$C,"&lt;="&amp;V$8,'Journal Entries'!$C:$C,"&gt;"&amp;U$8)</f>
        <v>0</v>
      </c>
      <c r="W44" s="43">
        <f>SUMIFS('Journal Entries'!$L:$L,'Journal Entries'!$K:$K,$C44,'Journal Entries'!$C:$C,"&lt;="&amp;W$8,'Journal Entries'!$C:$C,"&gt;"&amp;V$8)</f>
        <v>0</v>
      </c>
      <c r="X44" s="43">
        <f>SUMIFS('Journal Entries'!$L:$L,'Journal Entries'!$K:$K,$C44,'Journal Entries'!$C:$C,"&lt;="&amp;X$8,'Journal Entries'!$C:$C,"&gt;"&amp;W$8)</f>
        <v>0</v>
      </c>
      <c r="Y44" s="43">
        <f>SUMIFS('Journal Entries'!$L:$L,'Journal Entries'!$K:$K,$C44,'Journal Entries'!$C:$C,"&lt;="&amp;Y$8,'Journal Entries'!$C:$C,"&gt;"&amp;X$8)</f>
        <v>0</v>
      </c>
      <c r="Z44" s="43">
        <f>SUMIFS('Journal Entries'!$L:$L,'Journal Entries'!$K:$K,$C44,'Journal Entries'!$C:$C,"&lt;="&amp;Z$8,'Journal Entries'!$C:$C,"&gt;"&amp;Y$8)</f>
        <v>0</v>
      </c>
      <c r="AA44" s="43">
        <f>SUMIFS('Journal Entries'!$L:$L,'Journal Entries'!$K:$K,$C44,'Journal Entries'!$C:$C,"&lt;="&amp;AA$8,'Journal Entries'!$C:$C,"&gt;"&amp;Z$8)</f>
        <v>0</v>
      </c>
      <c r="AB44" s="43">
        <f>SUMIFS('Journal Entries'!$L:$L,'Journal Entries'!$K:$K,$C44,'Journal Entries'!$C:$C,"&lt;="&amp;AB$8,'Journal Entries'!$C:$C,"&gt;"&amp;AA$8)</f>
        <v>0</v>
      </c>
      <c r="AC44" s="43">
        <f>SUMIFS('Journal Entries'!$L:$L,'Journal Entries'!$K:$K,$C44,'Journal Entries'!$C:$C,"&lt;="&amp;AC$8,'Journal Entries'!$C:$C,"&gt;"&amp;AB$8)</f>
        <v>0</v>
      </c>
      <c r="AD44" s="43">
        <f>SUMIFS('Journal Entries'!$L:$L,'Journal Entries'!$K:$K,$C44,'Journal Entries'!$C:$C,"&lt;="&amp;AD$8,'Journal Entries'!$C:$C,"&gt;"&amp;AC$8)</f>
        <v>0</v>
      </c>
      <c r="AE44" s="43">
        <f>SUMIFS('Journal Entries'!$L:$L,'Journal Entries'!$K:$K,$C44,'Journal Entries'!$C:$C,"&lt;="&amp;AE$8,'Journal Entries'!$C:$C,"&gt;"&amp;AD$8)</f>
        <v>0</v>
      </c>
      <c r="AF44" s="43">
        <f>SUMIFS('Journal Entries'!$L:$L,'Journal Entries'!$K:$K,$C44,'Journal Entries'!$C:$C,"&lt;="&amp;AF$8,'Journal Entries'!$C:$C,"&gt;"&amp;AE$8)</f>
        <v>0</v>
      </c>
      <c r="AG44" s="43">
        <f>SUMIFS('Journal Entries'!$L:$L,'Journal Entries'!$K:$K,$C44,'Journal Entries'!$C:$C,"&lt;="&amp;AG$8,'Journal Entries'!$C:$C,"&gt;"&amp;AF$8)</f>
        <v>0</v>
      </c>
      <c r="AH44" s="43">
        <f>SUMIFS('Journal Entries'!$L:$L,'Journal Entries'!$K:$K,$C44,'Journal Entries'!$C:$C,"&lt;="&amp;AH$8,'Journal Entries'!$C:$C,"&gt;"&amp;AG$8)</f>
        <v>0</v>
      </c>
      <c r="AI44" s="43">
        <f>SUMIFS('Journal Entries'!$L:$L,'Journal Entries'!$K:$K,$C44,'Journal Entries'!$C:$C,"&lt;="&amp;AI$8,'Journal Entries'!$C:$C,"&gt;"&amp;AH$8)</f>
        <v>0</v>
      </c>
      <c r="AJ44" s="43">
        <f>SUMIFS('Journal Entries'!$L:$L,'Journal Entries'!$K:$K,$C44,'Journal Entries'!$C:$C,"&lt;="&amp;AJ$8,'Journal Entries'!$C:$C,"&gt;"&amp;AI$8)</f>
        <v>0</v>
      </c>
      <c r="AK44" s="43">
        <f>SUMIFS('Journal Entries'!$L:$L,'Journal Entries'!$K:$K,$C44,'Journal Entries'!$C:$C,"&lt;="&amp;AK$8,'Journal Entries'!$C:$C,"&gt;"&amp;AJ$8)</f>
        <v>0</v>
      </c>
      <c r="AL44" s="43">
        <f>SUMIFS('Journal Entries'!$L:$L,'Journal Entries'!$K:$K,$C44,'Journal Entries'!$C:$C,"&lt;="&amp;AL$8,'Journal Entries'!$C:$C,"&gt;"&amp;AK$8)</f>
        <v>0</v>
      </c>
      <c r="AM44" s="43">
        <f>SUMIFS('Journal Entries'!$L:$L,'Journal Entries'!$K:$K,$C44,'Journal Entries'!$C:$C,"&lt;="&amp;AM$8,'Journal Entries'!$C:$C,"&gt;"&amp;AL$8)</f>
        <v>0</v>
      </c>
      <c r="AN44" s="43">
        <f>SUMIFS('Journal Entries'!$L:$L,'Journal Entries'!$K:$K,$C44,'Journal Entries'!$C:$C,"&lt;="&amp;AN$8,'Journal Entries'!$C:$C,"&gt;"&amp;AM$8)</f>
        <v>0</v>
      </c>
      <c r="AO44" s="43">
        <f>SUMIFS('Journal Entries'!$L:$L,'Journal Entries'!$K:$K,$C44,'Journal Entries'!$C:$C,"&lt;="&amp;AO$8,'Journal Entries'!$C:$C,"&gt;"&amp;AN$8)</f>
        <v>0</v>
      </c>
      <c r="AP44" s="43">
        <f>SUMIFS('Journal Entries'!$L:$L,'Journal Entries'!$K:$K,$C44,'Journal Entries'!$C:$C,"&lt;="&amp;AP$8,'Journal Entries'!$C:$C,"&gt;"&amp;AO$8)</f>
        <v>0</v>
      </c>
      <c r="AQ44" s="43">
        <f>SUMIFS('Journal Entries'!$L:$L,'Journal Entries'!$K:$K,$C44,'Journal Entries'!$C:$C,"&lt;="&amp;AQ$8,'Journal Entries'!$C:$C,"&gt;"&amp;AP$8)</f>
        <v>0</v>
      </c>
      <c r="AR44" s="43">
        <f>SUMIFS('Journal Entries'!$L:$L,'Journal Entries'!$K:$K,$C44,'Journal Entries'!$C:$C,"&lt;="&amp;AR$8,'Journal Entries'!$C:$C,"&gt;"&amp;AQ$8)</f>
        <v>0</v>
      </c>
      <c r="AS44" s="43">
        <f>SUMIFS('Journal Entries'!$L:$L,'Journal Entries'!$K:$K,$C44,'Journal Entries'!$C:$C,"&lt;="&amp;AS$8,'Journal Entries'!$C:$C,"&gt;"&amp;AR$8)</f>
        <v>0</v>
      </c>
      <c r="AT44" s="43">
        <f>SUMIFS('Journal Entries'!$L:$L,'Journal Entries'!$K:$K,$C44,'Journal Entries'!$C:$C,"&lt;="&amp;AT$8,'Journal Entries'!$C:$C,"&gt;"&amp;AS$8)</f>
        <v>0</v>
      </c>
      <c r="AU44" s="43">
        <f>SUMIFS('Journal Entries'!$L:$L,'Journal Entries'!$K:$K,$C44,'Journal Entries'!$C:$C,"&lt;="&amp;AU$8,'Journal Entries'!$C:$C,"&gt;"&amp;AT$8)</f>
        <v>0</v>
      </c>
      <c r="AV44" s="43">
        <f>SUMIFS('Journal Entries'!$L:$L,'Journal Entries'!$K:$K,$C44,'Journal Entries'!$C:$C,"&lt;="&amp;AV$8,'Journal Entries'!$C:$C,"&gt;"&amp;AU$8)</f>
        <v>0</v>
      </c>
      <c r="AW44" s="43">
        <f>SUMIFS('Journal Entries'!$L:$L,'Journal Entries'!$K:$K,$C44,'Journal Entries'!$C:$C,"&lt;="&amp;AW$8,'Journal Entries'!$C:$C,"&gt;"&amp;AV$8)</f>
        <v>0</v>
      </c>
      <c r="AX44" s="43">
        <f>SUMIFS('Journal Entries'!$L:$L,'Journal Entries'!$K:$K,$C44,'Journal Entries'!$C:$C,"&lt;="&amp;AX$8,'Journal Entries'!$C:$C,"&gt;"&amp;AW$8)</f>
        <v>0</v>
      </c>
      <c r="AY44" s="43">
        <f>SUMIFS('Journal Entries'!$L:$L,'Journal Entries'!$K:$K,$C44,'Journal Entries'!$C:$C,"&lt;="&amp;AY$8,'Journal Entries'!$C:$C,"&gt;"&amp;AX$8)</f>
        <v>0</v>
      </c>
      <c r="AZ44" s="43">
        <f>SUMIFS('Journal Entries'!$L:$L,'Journal Entries'!$K:$K,$C44,'Journal Entries'!$C:$C,"&lt;="&amp;AZ$8,'Journal Entries'!$C:$C,"&gt;"&amp;AY$8)</f>
        <v>0</v>
      </c>
      <c r="BA44" s="43">
        <f>SUMIFS('Journal Entries'!$L:$L,'Journal Entries'!$K:$K,$C44,'Journal Entries'!$C:$C,"&lt;="&amp;BA$8,'Journal Entries'!$C:$C,"&gt;"&amp;AZ$8)</f>
        <v>0</v>
      </c>
      <c r="BB44" s="43">
        <f>SUMIFS('Journal Entries'!$L:$L,'Journal Entries'!$K:$K,$C44,'Journal Entries'!$C:$C,"&lt;="&amp;BB$8,'Journal Entries'!$C:$C,"&gt;"&amp;BA$8)</f>
        <v>0</v>
      </c>
      <c r="BC44" s="43">
        <f>SUMIFS('Journal Entries'!$L:$L,'Journal Entries'!$K:$K,$C44,'Journal Entries'!$C:$C,"&lt;="&amp;BC$8,'Journal Entries'!$C:$C,"&gt;"&amp;BB$8)</f>
        <v>0</v>
      </c>
      <c r="BD44" s="43">
        <f>SUMIFS('Journal Entries'!$L:$L,'Journal Entries'!$K:$K,$C44,'Journal Entries'!$C:$C,"&lt;="&amp;BD$8,'Journal Entries'!$C:$C,"&gt;"&amp;BC$8)</f>
        <v>0</v>
      </c>
      <c r="BE44" s="43">
        <f>SUMIFS('Journal Entries'!$L:$L,'Journal Entries'!$K:$K,$C44,'Journal Entries'!$C:$C,"&lt;="&amp;BE$8,'Journal Entries'!$C:$C,"&gt;"&amp;BD$8)</f>
        <v>0</v>
      </c>
      <c r="BF44" s="43">
        <f>SUMIFS('Journal Entries'!$L:$L,'Journal Entries'!$K:$K,$C44,'Journal Entries'!$C:$C,"&lt;="&amp;BF$8,'Journal Entries'!$C:$C,"&gt;"&amp;BE$8)</f>
        <v>0</v>
      </c>
      <c r="BG44" s="43">
        <f>SUMIFS('Journal Entries'!$L:$L,'Journal Entries'!$K:$K,$C44,'Journal Entries'!$C:$C,"&lt;="&amp;BG$8,'Journal Entries'!$C:$C,"&gt;"&amp;BF$8)</f>
        <v>0</v>
      </c>
      <c r="BH44" s="43">
        <f>SUMIFS('Journal Entries'!$L:$L,'Journal Entries'!$K:$K,$C44,'Journal Entries'!$C:$C,"&lt;="&amp;BH$8,'Journal Entries'!$C:$C,"&gt;"&amp;BG$8)</f>
        <v>0</v>
      </c>
      <c r="BI44" s="43">
        <f>SUMIFS('Journal Entries'!$L:$L,'Journal Entries'!$K:$K,$C44,'Journal Entries'!$C:$C,"&lt;="&amp;BI$8,'Journal Entries'!$C:$C,"&gt;"&amp;BH$8)</f>
        <v>0</v>
      </c>
      <c r="BJ44" s="43">
        <f>SUMIFS('Journal Entries'!$L:$L,'Journal Entries'!$K:$K,$C44,'Journal Entries'!$C:$C,"&lt;="&amp;BJ$8,'Journal Entries'!$C:$C,"&gt;"&amp;BI$8)</f>
        <v>0</v>
      </c>
      <c r="BK44" s="43">
        <f>SUMIFS('Journal Entries'!$L:$L,'Journal Entries'!$K:$K,$C44,'Journal Entries'!$C:$C,"&lt;="&amp;BK$8,'Journal Entries'!$C:$C,"&gt;"&amp;BJ$8)</f>
        <v>0</v>
      </c>
      <c r="BL44" s="43">
        <f>SUMIFS('Journal Entries'!$L:$L,'Journal Entries'!$K:$K,$C44,'Journal Entries'!$C:$C,"&lt;="&amp;BL$8,'Journal Entries'!$C:$C,"&gt;"&amp;BK$8)</f>
        <v>0</v>
      </c>
    </row>
    <row r="45" spans="2:64" x14ac:dyDescent="0.25">
      <c r="B45" s="10">
        <v>3020</v>
      </c>
      <c r="C45" s="10" t="str">
        <f>VLOOKUP(B45,'Chart of Accounts'!$B$3:$C$95,2,0)</f>
        <v>General Partner's capital account</v>
      </c>
      <c r="D45" s="525">
        <f t="shared" si="2"/>
        <v>0</v>
      </c>
      <c r="E45" s="43">
        <f>SUMIFS('Journal Entries'!$L:$L,'Journal Entries'!$K:$K,$C45,'Journal Entries'!$C:$C,"&lt;="&amp;E$8,'Journal Entries'!$C:$C,"&gt;"&amp;D$8)</f>
        <v>0</v>
      </c>
      <c r="F45" s="43">
        <f>SUMIFS('Journal Entries'!$L:$L,'Journal Entries'!$K:$K,$C45,'Journal Entries'!$C:$C,"&lt;="&amp;F$8,'Journal Entries'!$C:$C,"&gt;"&amp;E$8)</f>
        <v>0</v>
      </c>
      <c r="G45" s="43">
        <f>SUMIFS('Journal Entries'!$L:$L,'Journal Entries'!$K:$K,$C45,'Journal Entries'!$C:$C,"&lt;="&amp;G$8,'Journal Entries'!$C:$C,"&gt;"&amp;F$8)</f>
        <v>0</v>
      </c>
      <c r="H45" s="43">
        <f>SUMIFS('Journal Entries'!$L:$L,'Journal Entries'!$K:$K,$C45,'Journal Entries'!$C:$C,"&lt;="&amp;H$8,'Journal Entries'!$C:$C,"&gt;"&amp;G$8)</f>
        <v>0</v>
      </c>
      <c r="I45" s="43">
        <f>SUMIFS('Journal Entries'!$L:$L,'Journal Entries'!$K:$K,$C45,'Journal Entries'!$C:$C,"&lt;="&amp;I$8,'Journal Entries'!$C:$C,"&gt;"&amp;H$8)</f>
        <v>0</v>
      </c>
      <c r="J45" s="43">
        <f>SUMIFS('Journal Entries'!$L:$L,'Journal Entries'!$K:$K,$C45,'Journal Entries'!$C:$C,"&lt;="&amp;J$8,'Journal Entries'!$C:$C,"&gt;"&amp;I$8)</f>
        <v>0</v>
      </c>
      <c r="K45" s="43">
        <f>SUMIFS('Journal Entries'!$L:$L,'Journal Entries'!$K:$K,$C45,'Journal Entries'!$C:$C,"&lt;="&amp;K$8,'Journal Entries'!$C:$C,"&gt;"&amp;J$8)</f>
        <v>0</v>
      </c>
      <c r="L45" s="43">
        <f>SUMIFS('Journal Entries'!$L:$L,'Journal Entries'!$K:$K,$C45,'Journal Entries'!$C:$C,"&lt;="&amp;L$8,'Journal Entries'!$C:$C,"&gt;"&amp;K$8)</f>
        <v>0</v>
      </c>
      <c r="M45" s="43">
        <f>SUMIFS('Journal Entries'!$L:$L,'Journal Entries'!$K:$K,$C45,'Journal Entries'!$C:$C,"&lt;="&amp;M$8,'Journal Entries'!$C:$C,"&gt;"&amp;L$8)</f>
        <v>0</v>
      </c>
      <c r="N45" s="43">
        <f>SUMIFS('Journal Entries'!$L:$L,'Journal Entries'!$K:$K,$C45,'Journal Entries'!$C:$C,"&lt;="&amp;N$8,'Journal Entries'!$C:$C,"&gt;"&amp;M$8)</f>
        <v>0</v>
      </c>
      <c r="O45" s="43">
        <f>SUMIFS('Journal Entries'!$L:$L,'Journal Entries'!$K:$K,$C45,'Journal Entries'!$C:$C,"&lt;="&amp;O$8,'Journal Entries'!$C:$C,"&gt;"&amp;N$8)</f>
        <v>0</v>
      </c>
      <c r="P45" s="43">
        <f>SUMIFS('Journal Entries'!$L:$L,'Journal Entries'!$K:$K,$C45,'Journal Entries'!$C:$C,"&lt;="&amp;P$8,'Journal Entries'!$C:$C,"&gt;"&amp;O$8)</f>
        <v>0</v>
      </c>
      <c r="Q45" s="43">
        <f>SUMIFS('Journal Entries'!$L:$L,'Journal Entries'!$K:$K,$C45,'Journal Entries'!$C:$C,"&lt;="&amp;Q$8,'Journal Entries'!$C:$C,"&gt;"&amp;P$8)</f>
        <v>0</v>
      </c>
      <c r="R45" s="43">
        <f>SUMIFS('Journal Entries'!$L:$L,'Journal Entries'!$K:$K,$C45,'Journal Entries'!$C:$C,"&lt;="&amp;R$8,'Journal Entries'!$C:$C,"&gt;"&amp;Q$8)</f>
        <v>0</v>
      </c>
      <c r="S45" s="43">
        <f>SUMIFS('Journal Entries'!$L:$L,'Journal Entries'!$K:$K,$C45,'Journal Entries'!$C:$C,"&lt;="&amp;S$8,'Journal Entries'!$C:$C,"&gt;"&amp;R$8)</f>
        <v>0</v>
      </c>
      <c r="T45" s="43">
        <f>SUMIFS('Journal Entries'!$L:$L,'Journal Entries'!$K:$K,$C45,'Journal Entries'!$C:$C,"&lt;="&amp;T$8,'Journal Entries'!$C:$C,"&gt;"&amp;S$8)</f>
        <v>0</v>
      </c>
      <c r="U45" s="43">
        <f>SUMIFS('Journal Entries'!$L:$L,'Journal Entries'!$K:$K,$C45,'Journal Entries'!$C:$C,"&lt;="&amp;U$8,'Journal Entries'!$C:$C,"&gt;"&amp;T$8)</f>
        <v>0</v>
      </c>
      <c r="V45" s="43">
        <f>SUMIFS('Journal Entries'!$L:$L,'Journal Entries'!$K:$K,$C45,'Journal Entries'!$C:$C,"&lt;="&amp;V$8,'Journal Entries'!$C:$C,"&gt;"&amp;U$8)</f>
        <v>0</v>
      </c>
      <c r="W45" s="43">
        <f>SUMIFS('Journal Entries'!$L:$L,'Journal Entries'!$K:$K,$C45,'Journal Entries'!$C:$C,"&lt;="&amp;W$8,'Journal Entries'!$C:$C,"&gt;"&amp;V$8)</f>
        <v>0</v>
      </c>
      <c r="X45" s="43">
        <f>SUMIFS('Journal Entries'!$L:$L,'Journal Entries'!$K:$K,$C45,'Journal Entries'!$C:$C,"&lt;="&amp;X$8,'Journal Entries'!$C:$C,"&gt;"&amp;W$8)</f>
        <v>0</v>
      </c>
      <c r="Y45" s="43">
        <f>SUMIFS('Journal Entries'!$L:$L,'Journal Entries'!$K:$K,$C45,'Journal Entries'!$C:$C,"&lt;="&amp;Y$8,'Journal Entries'!$C:$C,"&gt;"&amp;X$8)</f>
        <v>0</v>
      </c>
      <c r="Z45" s="43">
        <f>SUMIFS('Journal Entries'!$L:$L,'Journal Entries'!$K:$K,$C45,'Journal Entries'!$C:$C,"&lt;="&amp;Z$8,'Journal Entries'!$C:$C,"&gt;"&amp;Y$8)</f>
        <v>0</v>
      </c>
      <c r="AA45" s="43">
        <f>SUMIFS('Journal Entries'!$L:$L,'Journal Entries'!$K:$K,$C45,'Journal Entries'!$C:$C,"&lt;="&amp;AA$8,'Journal Entries'!$C:$C,"&gt;"&amp;Z$8)</f>
        <v>0</v>
      </c>
      <c r="AB45" s="43">
        <f>SUMIFS('Journal Entries'!$L:$L,'Journal Entries'!$K:$K,$C45,'Journal Entries'!$C:$C,"&lt;="&amp;AB$8,'Journal Entries'!$C:$C,"&gt;"&amp;AA$8)</f>
        <v>0</v>
      </c>
      <c r="AC45" s="43">
        <f>SUMIFS('Journal Entries'!$L:$L,'Journal Entries'!$K:$K,$C45,'Journal Entries'!$C:$C,"&lt;="&amp;AC$8,'Journal Entries'!$C:$C,"&gt;"&amp;AB$8)</f>
        <v>0</v>
      </c>
      <c r="AD45" s="43">
        <f>SUMIFS('Journal Entries'!$L:$L,'Journal Entries'!$K:$K,$C45,'Journal Entries'!$C:$C,"&lt;="&amp;AD$8,'Journal Entries'!$C:$C,"&gt;"&amp;AC$8)</f>
        <v>0</v>
      </c>
      <c r="AE45" s="43">
        <f>SUMIFS('Journal Entries'!$L:$L,'Journal Entries'!$K:$K,$C45,'Journal Entries'!$C:$C,"&lt;="&amp;AE$8,'Journal Entries'!$C:$C,"&gt;"&amp;AD$8)</f>
        <v>0</v>
      </c>
      <c r="AF45" s="43">
        <f>SUMIFS('Journal Entries'!$L:$L,'Journal Entries'!$K:$K,$C45,'Journal Entries'!$C:$C,"&lt;="&amp;AF$8,'Journal Entries'!$C:$C,"&gt;"&amp;AE$8)</f>
        <v>0</v>
      </c>
      <c r="AG45" s="43">
        <f>SUMIFS('Journal Entries'!$L:$L,'Journal Entries'!$K:$K,$C45,'Journal Entries'!$C:$C,"&lt;="&amp;AG$8,'Journal Entries'!$C:$C,"&gt;"&amp;AF$8)</f>
        <v>0</v>
      </c>
      <c r="AH45" s="43">
        <f>SUMIFS('Journal Entries'!$L:$L,'Journal Entries'!$K:$K,$C45,'Journal Entries'!$C:$C,"&lt;="&amp;AH$8,'Journal Entries'!$C:$C,"&gt;"&amp;AG$8)</f>
        <v>0</v>
      </c>
      <c r="AI45" s="43">
        <f>SUMIFS('Journal Entries'!$L:$L,'Journal Entries'!$K:$K,$C45,'Journal Entries'!$C:$C,"&lt;="&amp;AI$8,'Journal Entries'!$C:$C,"&gt;"&amp;AH$8)</f>
        <v>0</v>
      </c>
      <c r="AJ45" s="43">
        <f>SUMIFS('Journal Entries'!$L:$L,'Journal Entries'!$K:$K,$C45,'Journal Entries'!$C:$C,"&lt;="&amp;AJ$8,'Journal Entries'!$C:$C,"&gt;"&amp;AI$8)</f>
        <v>0</v>
      </c>
      <c r="AK45" s="43">
        <f>SUMIFS('Journal Entries'!$L:$L,'Journal Entries'!$K:$K,$C45,'Journal Entries'!$C:$C,"&lt;="&amp;AK$8,'Journal Entries'!$C:$C,"&gt;"&amp;AJ$8)</f>
        <v>0</v>
      </c>
      <c r="AL45" s="43">
        <f>SUMIFS('Journal Entries'!$L:$L,'Journal Entries'!$K:$K,$C45,'Journal Entries'!$C:$C,"&lt;="&amp;AL$8,'Journal Entries'!$C:$C,"&gt;"&amp;AK$8)</f>
        <v>0</v>
      </c>
      <c r="AM45" s="43">
        <f>SUMIFS('Journal Entries'!$L:$L,'Journal Entries'!$K:$K,$C45,'Journal Entries'!$C:$C,"&lt;="&amp;AM$8,'Journal Entries'!$C:$C,"&gt;"&amp;AL$8)</f>
        <v>0</v>
      </c>
      <c r="AN45" s="43">
        <f>SUMIFS('Journal Entries'!$L:$L,'Journal Entries'!$K:$K,$C45,'Journal Entries'!$C:$C,"&lt;="&amp;AN$8,'Journal Entries'!$C:$C,"&gt;"&amp;AM$8)</f>
        <v>0</v>
      </c>
      <c r="AO45" s="43">
        <f>SUMIFS('Journal Entries'!$L:$L,'Journal Entries'!$K:$K,$C45,'Journal Entries'!$C:$C,"&lt;="&amp;AO$8,'Journal Entries'!$C:$C,"&gt;"&amp;AN$8)</f>
        <v>0</v>
      </c>
      <c r="AP45" s="43">
        <f>SUMIFS('Journal Entries'!$L:$L,'Journal Entries'!$K:$K,$C45,'Journal Entries'!$C:$C,"&lt;="&amp;AP$8,'Journal Entries'!$C:$C,"&gt;"&amp;AO$8)</f>
        <v>0</v>
      </c>
      <c r="AQ45" s="43">
        <f>SUMIFS('Journal Entries'!$L:$L,'Journal Entries'!$K:$K,$C45,'Journal Entries'!$C:$C,"&lt;="&amp;AQ$8,'Journal Entries'!$C:$C,"&gt;"&amp;AP$8)</f>
        <v>0</v>
      </c>
      <c r="AR45" s="43">
        <f>SUMIFS('Journal Entries'!$L:$L,'Journal Entries'!$K:$K,$C45,'Journal Entries'!$C:$C,"&lt;="&amp;AR$8,'Journal Entries'!$C:$C,"&gt;"&amp;AQ$8)</f>
        <v>0</v>
      </c>
      <c r="AS45" s="43">
        <f>SUMIFS('Journal Entries'!$L:$L,'Journal Entries'!$K:$K,$C45,'Journal Entries'!$C:$C,"&lt;="&amp;AS$8,'Journal Entries'!$C:$C,"&gt;"&amp;AR$8)</f>
        <v>0</v>
      </c>
      <c r="AT45" s="43">
        <f>SUMIFS('Journal Entries'!$L:$L,'Journal Entries'!$K:$K,$C45,'Journal Entries'!$C:$C,"&lt;="&amp;AT$8,'Journal Entries'!$C:$C,"&gt;"&amp;AS$8)</f>
        <v>0</v>
      </c>
      <c r="AU45" s="43">
        <f>SUMIFS('Journal Entries'!$L:$L,'Journal Entries'!$K:$K,$C45,'Journal Entries'!$C:$C,"&lt;="&amp;AU$8,'Journal Entries'!$C:$C,"&gt;"&amp;AT$8)</f>
        <v>0</v>
      </c>
      <c r="AV45" s="43">
        <f>SUMIFS('Journal Entries'!$L:$L,'Journal Entries'!$K:$K,$C45,'Journal Entries'!$C:$C,"&lt;="&amp;AV$8,'Journal Entries'!$C:$C,"&gt;"&amp;AU$8)</f>
        <v>0</v>
      </c>
      <c r="AW45" s="43">
        <f>SUMIFS('Journal Entries'!$L:$L,'Journal Entries'!$K:$K,$C45,'Journal Entries'!$C:$C,"&lt;="&amp;AW$8,'Journal Entries'!$C:$C,"&gt;"&amp;AV$8)</f>
        <v>0</v>
      </c>
      <c r="AX45" s="43">
        <f>SUMIFS('Journal Entries'!$L:$L,'Journal Entries'!$K:$K,$C45,'Journal Entries'!$C:$C,"&lt;="&amp;AX$8,'Journal Entries'!$C:$C,"&gt;"&amp;AW$8)</f>
        <v>0</v>
      </c>
      <c r="AY45" s="43">
        <f>SUMIFS('Journal Entries'!$L:$L,'Journal Entries'!$K:$K,$C45,'Journal Entries'!$C:$C,"&lt;="&amp;AY$8,'Journal Entries'!$C:$C,"&gt;"&amp;AX$8)</f>
        <v>0</v>
      </c>
      <c r="AZ45" s="43">
        <f>SUMIFS('Journal Entries'!$L:$L,'Journal Entries'!$K:$K,$C45,'Journal Entries'!$C:$C,"&lt;="&amp;AZ$8,'Journal Entries'!$C:$C,"&gt;"&amp;AY$8)</f>
        <v>0</v>
      </c>
      <c r="BA45" s="43">
        <f>SUMIFS('Journal Entries'!$L:$L,'Journal Entries'!$K:$K,$C45,'Journal Entries'!$C:$C,"&lt;="&amp;BA$8,'Journal Entries'!$C:$C,"&gt;"&amp;AZ$8)</f>
        <v>0</v>
      </c>
      <c r="BB45" s="43">
        <f>SUMIFS('Journal Entries'!$L:$L,'Journal Entries'!$K:$K,$C45,'Journal Entries'!$C:$C,"&lt;="&amp;BB$8,'Journal Entries'!$C:$C,"&gt;"&amp;BA$8)</f>
        <v>0</v>
      </c>
      <c r="BC45" s="43">
        <f>SUMIFS('Journal Entries'!$L:$L,'Journal Entries'!$K:$K,$C45,'Journal Entries'!$C:$C,"&lt;="&amp;BC$8,'Journal Entries'!$C:$C,"&gt;"&amp;BB$8)</f>
        <v>0</v>
      </c>
      <c r="BD45" s="43">
        <f>SUMIFS('Journal Entries'!$L:$L,'Journal Entries'!$K:$K,$C45,'Journal Entries'!$C:$C,"&lt;="&amp;BD$8,'Journal Entries'!$C:$C,"&gt;"&amp;BC$8)</f>
        <v>0</v>
      </c>
      <c r="BE45" s="43">
        <f>SUMIFS('Journal Entries'!$L:$L,'Journal Entries'!$K:$K,$C45,'Journal Entries'!$C:$C,"&lt;="&amp;BE$8,'Journal Entries'!$C:$C,"&gt;"&amp;BD$8)</f>
        <v>0</v>
      </c>
      <c r="BF45" s="43">
        <f>SUMIFS('Journal Entries'!$L:$L,'Journal Entries'!$K:$K,$C45,'Journal Entries'!$C:$C,"&lt;="&amp;BF$8,'Journal Entries'!$C:$C,"&gt;"&amp;BE$8)</f>
        <v>0</v>
      </c>
      <c r="BG45" s="43">
        <f>SUMIFS('Journal Entries'!$L:$L,'Journal Entries'!$K:$K,$C45,'Journal Entries'!$C:$C,"&lt;="&amp;BG$8,'Journal Entries'!$C:$C,"&gt;"&amp;BF$8)</f>
        <v>0</v>
      </c>
      <c r="BH45" s="43">
        <f>SUMIFS('Journal Entries'!$L:$L,'Journal Entries'!$K:$K,$C45,'Journal Entries'!$C:$C,"&lt;="&amp;BH$8,'Journal Entries'!$C:$C,"&gt;"&amp;BG$8)</f>
        <v>0</v>
      </c>
      <c r="BI45" s="43">
        <f>SUMIFS('Journal Entries'!$L:$L,'Journal Entries'!$K:$K,$C45,'Journal Entries'!$C:$C,"&lt;="&amp;BI$8,'Journal Entries'!$C:$C,"&gt;"&amp;BH$8)</f>
        <v>0</v>
      </c>
      <c r="BJ45" s="43">
        <f>SUMIFS('Journal Entries'!$L:$L,'Journal Entries'!$K:$K,$C45,'Journal Entries'!$C:$C,"&lt;="&amp;BJ$8,'Journal Entries'!$C:$C,"&gt;"&amp;BI$8)</f>
        <v>0</v>
      </c>
      <c r="BK45" s="43">
        <f>SUMIFS('Journal Entries'!$L:$L,'Journal Entries'!$K:$K,$C45,'Journal Entries'!$C:$C,"&lt;="&amp;BK$8,'Journal Entries'!$C:$C,"&gt;"&amp;BJ$8)</f>
        <v>0</v>
      </c>
      <c r="BL45" s="43">
        <f>SUMIFS('Journal Entries'!$L:$L,'Journal Entries'!$K:$K,$C45,'Journal Entries'!$C:$C,"&lt;="&amp;BL$8,'Journal Entries'!$C:$C,"&gt;"&amp;BK$8)</f>
        <v>0</v>
      </c>
    </row>
    <row r="46" spans="2:64" x14ac:dyDescent="0.25">
      <c r="B46" s="10">
        <v>3030</v>
      </c>
      <c r="C46" s="10" t="str">
        <f>VLOOKUP(B46,'Chart of Accounts'!$B$3:$C$95,2,0)</f>
        <v>Limited Partners' capital accounts</v>
      </c>
      <c r="D46" s="525">
        <f t="shared" si="2"/>
        <v>0</v>
      </c>
      <c r="E46" s="43">
        <f>SUMIFS('Journal Entries'!$L:$L,'Journal Entries'!$K:$K,$C46,'Journal Entries'!$C:$C,"&lt;="&amp;E$8,'Journal Entries'!$C:$C,"&gt;"&amp;D$8)</f>
        <v>0</v>
      </c>
      <c r="F46" s="43">
        <f>SUMIFS('Journal Entries'!$L:$L,'Journal Entries'!$K:$K,$C46,'Journal Entries'!$C:$C,"&lt;="&amp;F$8,'Journal Entries'!$C:$C,"&gt;"&amp;E$8)</f>
        <v>0</v>
      </c>
      <c r="G46" s="43">
        <f>SUMIFS('Journal Entries'!$L:$L,'Journal Entries'!$K:$K,$C46,'Journal Entries'!$C:$C,"&lt;="&amp;G$8,'Journal Entries'!$C:$C,"&gt;"&amp;F$8)</f>
        <v>0</v>
      </c>
      <c r="H46" s="43">
        <f>SUMIFS('Journal Entries'!$L:$L,'Journal Entries'!$K:$K,$C46,'Journal Entries'!$C:$C,"&lt;="&amp;H$8,'Journal Entries'!$C:$C,"&gt;"&amp;G$8)</f>
        <v>0</v>
      </c>
      <c r="I46" s="43">
        <f>SUMIFS('Journal Entries'!$L:$L,'Journal Entries'!$K:$K,$C46,'Journal Entries'!$C:$C,"&lt;="&amp;I$8,'Journal Entries'!$C:$C,"&gt;"&amp;H$8)</f>
        <v>0</v>
      </c>
      <c r="J46" s="43">
        <f>SUMIFS('Journal Entries'!$L:$L,'Journal Entries'!$K:$K,$C46,'Journal Entries'!$C:$C,"&lt;="&amp;J$8,'Journal Entries'!$C:$C,"&gt;"&amp;I$8)</f>
        <v>0</v>
      </c>
      <c r="K46" s="43">
        <f>SUMIFS('Journal Entries'!$L:$L,'Journal Entries'!$K:$K,$C46,'Journal Entries'!$C:$C,"&lt;="&amp;K$8,'Journal Entries'!$C:$C,"&gt;"&amp;J$8)</f>
        <v>0</v>
      </c>
      <c r="L46" s="43">
        <f>SUMIFS('Journal Entries'!$L:$L,'Journal Entries'!$K:$K,$C46,'Journal Entries'!$C:$C,"&lt;="&amp;L$8,'Journal Entries'!$C:$C,"&gt;"&amp;K$8)</f>
        <v>0</v>
      </c>
      <c r="M46" s="43">
        <f>SUMIFS('Journal Entries'!$L:$L,'Journal Entries'!$K:$K,$C46,'Journal Entries'!$C:$C,"&lt;="&amp;M$8,'Journal Entries'!$C:$C,"&gt;"&amp;L$8)</f>
        <v>0</v>
      </c>
      <c r="N46" s="43">
        <f>SUMIFS('Journal Entries'!$L:$L,'Journal Entries'!$K:$K,$C46,'Journal Entries'!$C:$C,"&lt;="&amp;N$8,'Journal Entries'!$C:$C,"&gt;"&amp;M$8)</f>
        <v>0</v>
      </c>
      <c r="O46" s="43">
        <f>SUMIFS('Journal Entries'!$L:$L,'Journal Entries'!$K:$K,$C46,'Journal Entries'!$C:$C,"&lt;="&amp;O$8,'Journal Entries'!$C:$C,"&gt;"&amp;N$8)</f>
        <v>0</v>
      </c>
      <c r="P46" s="43">
        <f>SUMIFS('Journal Entries'!$L:$L,'Journal Entries'!$K:$K,$C46,'Journal Entries'!$C:$C,"&lt;="&amp;P$8,'Journal Entries'!$C:$C,"&gt;"&amp;O$8)</f>
        <v>0</v>
      </c>
      <c r="Q46" s="43">
        <f>SUMIFS('Journal Entries'!$L:$L,'Journal Entries'!$K:$K,$C46,'Journal Entries'!$C:$C,"&lt;="&amp;Q$8,'Journal Entries'!$C:$C,"&gt;"&amp;P$8)</f>
        <v>0</v>
      </c>
      <c r="R46" s="43">
        <f>SUMIFS('Journal Entries'!$L:$L,'Journal Entries'!$K:$K,$C46,'Journal Entries'!$C:$C,"&lt;="&amp;R$8,'Journal Entries'!$C:$C,"&gt;"&amp;Q$8)</f>
        <v>0</v>
      </c>
      <c r="S46" s="43">
        <f>SUMIFS('Journal Entries'!$L:$L,'Journal Entries'!$K:$K,$C46,'Journal Entries'!$C:$C,"&lt;="&amp;S$8,'Journal Entries'!$C:$C,"&gt;"&amp;R$8)</f>
        <v>0</v>
      </c>
      <c r="T46" s="43">
        <f>SUMIFS('Journal Entries'!$L:$L,'Journal Entries'!$K:$K,$C46,'Journal Entries'!$C:$C,"&lt;="&amp;T$8,'Journal Entries'!$C:$C,"&gt;"&amp;S$8)</f>
        <v>0</v>
      </c>
      <c r="U46" s="43">
        <f>SUMIFS('Journal Entries'!$L:$L,'Journal Entries'!$K:$K,$C46,'Journal Entries'!$C:$C,"&lt;="&amp;U$8,'Journal Entries'!$C:$C,"&gt;"&amp;T$8)</f>
        <v>0</v>
      </c>
      <c r="V46" s="43">
        <f>SUMIFS('Journal Entries'!$L:$L,'Journal Entries'!$K:$K,$C46,'Journal Entries'!$C:$C,"&lt;="&amp;V$8,'Journal Entries'!$C:$C,"&gt;"&amp;U$8)</f>
        <v>0</v>
      </c>
      <c r="W46" s="43">
        <f>SUMIFS('Journal Entries'!$L:$L,'Journal Entries'!$K:$K,$C46,'Journal Entries'!$C:$C,"&lt;="&amp;W$8,'Journal Entries'!$C:$C,"&gt;"&amp;V$8)</f>
        <v>0</v>
      </c>
      <c r="X46" s="43">
        <f>SUMIFS('Journal Entries'!$L:$L,'Journal Entries'!$K:$K,$C46,'Journal Entries'!$C:$C,"&lt;="&amp;X$8,'Journal Entries'!$C:$C,"&gt;"&amp;W$8)</f>
        <v>0</v>
      </c>
      <c r="Y46" s="43">
        <f>SUMIFS('Journal Entries'!$L:$L,'Journal Entries'!$K:$K,$C46,'Journal Entries'!$C:$C,"&lt;="&amp;Y$8,'Journal Entries'!$C:$C,"&gt;"&amp;X$8)</f>
        <v>0</v>
      </c>
      <c r="Z46" s="43">
        <f>SUMIFS('Journal Entries'!$L:$L,'Journal Entries'!$K:$K,$C46,'Journal Entries'!$C:$C,"&lt;="&amp;Z$8,'Journal Entries'!$C:$C,"&gt;"&amp;Y$8)</f>
        <v>0</v>
      </c>
      <c r="AA46" s="43">
        <f>SUMIFS('Journal Entries'!$L:$L,'Journal Entries'!$K:$K,$C46,'Journal Entries'!$C:$C,"&lt;="&amp;AA$8,'Journal Entries'!$C:$C,"&gt;"&amp;Z$8)</f>
        <v>0</v>
      </c>
      <c r="AB46" s="43">
        <f>SUMIFS('Journal Entries'!$L:$L,'Journal Entries'!$K:$K,$C46,'Journal Entries'!$C:$C,"&lt;="&amp;AB$8,'Journal Entries'!$C:$C,"&gt;"&amp;AA$8)</f>
        <v>0</v>
      </c>
      <c r="AC46" s="43">
        <f>SUMIFS('Journal Entries'!$L:$L,'Journal Entries'!$K:$K,$C46,'Journal Entries'!$C:$C,"&lt;="&amp;AC$8,'Journal Entries'!$C:$C,"&gt;"&amp;AB$8)</f>
        <v>0</v>
      </c>
      <c r="AD46" s="43">
        <f>SUMIFS('Journal Entries'!$L:$L,'Journal Entries'!$K:$K,$C46,'Journal Entries'!$C:$C,"&lt;="&amp;AD$8,'Journal Entries'!$C:$C,"&gt;"&amp;AC$8)</f>
        <v>0</v>
      </c>
      <c r="AE46" s="43">
        <f>SUMIFS('Journal Entries'!$L:$L,'Journal Entries'!$K:$K,$C46,'Journal Entries'!$C:$C,"&lt;="&amp;AE$8,'Journal Entries'!$C:$C,"&gt;"&amp;AD$8)</f>
        <v>0</v>
      </c>
      <c r="AF46" s="43">
        <f>SUMIFS('Journal Entries'!$L:$L,'Journal Entries'!$K:$K,$C46,'Journal Entries'!$C:$C,"&lt;="&amp;AF$8,'Journal Entries'!$C:$C,"&gt;"&amp;AE$8)</f>
        <v>0</v>
      </c>
      <c r="AG46" s="43">
        <f>SUMIFS('Journal Entries'!$L:$L,'Journal Entries'!$K:$K,$C46,'Journal Entries'!$C:$C,"&lt;="&amp;AG$8,'Journal Entries'!$C:$C,"&gt;"&amp;AF$8)</f>
        <v>0</v>
      </c>
      <c r="AH46" s="43">
        <f>SUMIFS('Journal Entries'!$L:$L,'Journal Entries'!$K:$K,$C46,'Journal Entries'!$C:$C,"&lt;="&amp;AH$8,'Journal Entries'!$C:$C,"&gt;"&amp;AG$8)</f>
        <v>0</v>
      </c>
      <c r="AI46" s="43">
        <f>SUMIFS('Journal Entries'!$L:$L,'Journal Entries'!$K:$K,$C46,'Journal Entries'!$C:$C,"&lt;="&amp;AI$8,'Journal Entries'!$C:$C,"&gt;"&amp;AH$8)</f>
        <v>0</v>
      </c>
      <c r="AJ46" s="43">
        <f>SUMIFS('Journal Entries'!$L:$L,'Journal Entries'!$K:$K,$C46,'Journal Entries'!$C:$C,"&lt;="&amp;AJ$8,'Journal Entries'!$C:$C,"&gt;"&amp;AI$8)</f>
        <v>0</v>
      </c>
      <c r="AK46" s="43">
        <f>SUMIFS('Journal Entries'!$L:$L,'Journal Entries'!$K:$K,$C46,'Journal Entries'!$C:$C,"&lt;="&amp;AK$8,'Journal Entries'!$C:$C,"&gt;"&amp;AJ$8)</f>
        <v>0</v>
      </c>
      <c r="AL46" s="43">
        <f>SUMIFS('Journal Entries'!$L:$L,'Journal Entries'!$K:$K,$C46,'Journal Entries'!$C:$C,"&lt;="&amp;AL$8,'Journal Entries'!$C:$C,"&gt;"&amp;AK$8)</f>
        <v>0</v>
      </c>
      <c r="AM46" s="43">
        <f>SUMIFS('Journal Entries'!$L:$L,'Journal Entries'!$K:$K,$C46,'Journal Entries'!$C:$C,"&lt;="&amp;AM$8,'Journal Entries'!$C:$C,"&gt;"&amp;AL$8)</f>
        <v>0</v>
      </c>
      <c r="AN46" s="43">
        <f>SUMIFS('Journal Entries'!$L:$L,'Journal Entries'!$K:$K,$C46,'Journal Entries'!$C:$C,"&lt;="&amp;AN$8,'Journal Entries'!$C:$C,"&gt;"&amp;AM$8)</f>
        <v>0</v>
      </c>
      <c r="AO46" s="43">
        <f>SUMIFS('Journal Entries'!$L:$L,'Journal Entries'!$K:$K,$C46,'Journal Entries'!$C:$C,"&lt;="&amp;AO$8,'Journal Entries'!$C:$C,"&gt;"&amp;AN$8)</f>
        <v>0</v>
      </c>
      <c r="AP46" s="43">
        <f>SUMIFS('Journal Entries'!$L:$L,'Journal Entries'!$K:$K,$C46,'Journal Entries'!$C:$C,"&lt;="&amp;AP$8,'Journal Entries'!$C:$C,"&gt;"&amp;AO$8)</f>
        <v>0</v>
      </c>
      <c r="AQ46" s="43">
        <f>SUMIFS('Journal Entries'!$L:$L,'Journal Entries'!$K:$K,$C46,'Journal Entries'!$C:$C,"&lt;="&amp;AQ$8,'Journal Entries'!$C:$C,"&gt;"&amp;AP$8)</f>
        <v>0</v>
      </c>
      <c r="AR46" s="43">
        <f>SUMIFS('Journal Entries'!$L:$L,'Journal Entries'!$K:$K,$C46,'Journal Entries'!$C:$C,"&lt;="&amp;AR$8,'Journal Entries'!$C:$C,"&gt;"&amp;AQ$8)</f>
        <v>0</v>
      </c>
      <c r="AS46" s="43">
        <f>SUMIFS('Journal Entries'!$L:$L,'Journal Entries'!$K:$K,$C46,'Journal Entries'!$C:$C,"&lt;="&amp;AS$8,'Journal Entries'!$C:$C,"&gt;"&amp;AR$8)</f>
        <v>0</v>
      </c>
      <c r="AT46" s="43">
        <f>SUMIFS('Journal Entries'!$L:$L,'Journal Entries'!$K:$K,$C46,'Journal Entries'!$C:$C,"&lt;="&amp;AT$8,'Journal Entries'!$C:$C,"&gt;"&amp;AS$8)</f>
        <v>0</v>
      </c>
      <c r="AU46" s="43">
        <f>SUMIFS('Journal Entries'!$L:$L,'Journal Entries'!$K:$K,$C46,'Journal Entries'!$C:$C,"&lt;="&amp;AU$8,'Journal Entries'!$C:$C,"&gt;"&amp;AT$8)</f>
        <v>0</v>
      </c>
      <c r="AV46" s="43">
        <f>SUMIFS('Journal Entries'!$L:$L,'Journal Entries'!$K:$K,$C46,'Journal Entries'!$C:$C,"&lt;="&amp;AV$8,'Journal Entries'!$C:$C,"&gt;"&amp;AU$8)</f>
        <v>0</v>
      </c>
      <c r="AW46" s="43">
        <f>SUMIFS('Journal Entries'!$L:$L,'Journal Entries'!$K:$K,$C46,'Journal Entries'!$C:$C,"&lt;="&amp;AW$8,'Journal Entries'!$C:$C,"&gt;"&amp;AV$8)</f>
        <v>0</v>
      </c>
      <c r="AX46" s="43">
        <f>SUMIFS('Journal Entries'!$L:$L,'Journal Entries'!$K:$K,$C46,'Journal Entries'!$C:$C,"&lt;="&amp;AX$8,'Journal Entries'!$C:$C,"&gt;"&amp;AW$8)</f>
        <v>0</v>
      </c>
      <c r="AY46" s="43">
        <f>SUMIFS('Journal Entries'!$L:$L,'Journal Entries'!$K:$K,$C46,'Journal Entries'!$C:$C,"&lt;="&amp;AY$8,'Journal Entries'!$C:$C,"&gt;"&amp;AX$8)</f>
        <v>0</v>
      </c>
      <c r="AZ46" s="43">
        <f>SUMIFS('Journal Entries'!$L:$L,'Journal Entries'!$K:$K,$C46,'Journal Entries'!$C:$C,"&lt;="&amp;AZ$8,'Journal Entries'!$C:$C,"&gt;"&amp;AY$8)</f>
        <v>0</v>
      </c>
      <c r="BA46" s="43">
        <f>SUMIFS('Journal Entries'!$L:$L,'Journal Entries'!$K:$K,$C46,'Journal Entries'!$C:$C,"&lt;="&amp;BA$8,'Journal Entries'!$C:$C,"&gt;"&amp;AZ$8)</f>
        <v>0</v>
      </c>
      <c r="BB46" s="43">
        <f>SUMIFS('Journal Entries'!$L:$L,'Journal Entries'!$K:$K,$C46,'Journal Entries'!$C:$C,"&lt;="&amp;BB$8,'Journal Entries'!$C:$C,"&gt;"&amp;BA$8)</f>
        <v>0</v>
      </c>
      <c r="BC46" s="43">
        <f>SUMIFS('Journal Entries'!$L:$L,'Journal Entries'!$K:$K,$C46,'Journal Entries'!$C:$C,"&lt;="&amp;BC$8,'Journal Entries'!$C:$C,"&gt;"&amp;BB$8)</f>
        <v>0</v>
      </c>
      <c r="BD46" s="43">
        <f>SUMIFS('Journal Entries'!$L:$L,'Journal Entries'!$K:$K,$C46,'Journal Entries'!$C:$C,"&lt;="&amp;BD$8,'Journal Entries'!$C:$C,"&gt;"&amp;BC$8)</f>
        <v>0</v>
      </c>
      <c r="BE46" s="43">
        <f>SUMIFS('Journal Entries'!$L:$L,'Journal Entries'!$K:$K,$C46,'Journal Entries'!$C:$C,"&lt;="&amp;BE$8,'Journal Entries'!$C:$C,"&gt;"&amp;BD$8)</f>
        <v>0</v>
      </c>
      <c r="BF46" s="43">
        <f>SUMIFS('Journal Entries'!$L:$L,'Journal Entries'!$K:$K,$C46,'Journal Entries'!$C:$C,"&lt;="&amp;BF$8,'Journal Entries'!$C:$C,"&gt;"&amp;BE$8)</f>
        <v>0</v>
      </c>
      <c r="BG46" s="43">
        <f>SUMIFS('Journal Entries'!$L:$L,'Journal Entries'!$K:$K,$C46,'Journal Entries'!$C:$C,"&lt;="&amp;BG$8,'Journal Entries'!$C:$C,"&gt;"&amp;BF$8)</f>
        <v>0</v>
      </c>
      <c r="BH46" s="43">
        <f>SUMIFS('Journal Entries'!$L:$L,'Journal Entries'!$K:$K,$C46,'Journal Entries'!$C:$C,"&lt;="&amp;BH$8,'Journal Entries'!$C:$C,"&gt;"&amp;BG$8)</f>
        <v>0</v>
      </c>
      <c r="BI46" s="43">
        <f>SUMIFS('Journal Entries'!$L:$L,'Journal Entries'!$K:$K,$C46,'Journal Entries'!$C:$C,"&lt;="&amp;BI$8,'Journal Entries'!$C:$C,"&gt;"&amp;BH$8)</f>
        <v>0</v>
      </c>
      <c r="BJ46" s="43">
        <f>SUMIFS('Journal Entries'!$L:$L,'Journal Entries'!$K:$K,$C46,'Journal Entries'!$C:$C,"&lt;="&amp;BJ$8,'Journal Entries'!$C:$C,"&gt;"&amp;BI$8)</f>
        <v>0</v>
      </c>
      <c r="BK46" s="43">
        <f>SUMIFS('Journal Entries'!$L:$L,'Journal Entries'!$K:$K,$C46,'Journal Entries'!$C:$C,"&lt;="&amp;BK$8,'Journal Entries'!$C:$C,"&gt;"&amp;BJ$8)</f>
        <v>0</v>
      </c>
      <c r="BL46" s="43">
        <f>SUMIFS('Journal Entries'!$L:$L,'Journal Entries'!$K:$K,$C46,'Journal Entries'!$C:$C,"&lt;="&amp;BL$8,'Journal Entries'!$C:$C,"&gt;"&amp;BK$8)</f>
        <v>0</v>
      </c>
    </row>
    <row r="47" spans="2:64" x14ac:dyDescent="0.25">
      <c r="B47" s="10">
        <v>3040</v>
      </c>
      <c r="C47" s="10" t="str">
        <f>VLOOKUP(B47,'Chart of Accounts'!$B$3:$C$95,2,0)</f>
        <v>Retained earnings</v>
      </c>
      <c r="D47" s="525">
        <f t="shared" si="2"/>
        <v>0</v>
      </c>
      <c r="E47" s="43">
        <f>SUMIFS('Journal Entries'!$L:$L,'Journal Entries'!$K:$K,$C47,'Journal Entries'!$C:$C,"&lt;="&amp;E$8,'Journal Entries'!$C:$C,"&gt;"&amp;D$8)</f>
        <v>0</v>
      </c>
      <c r="F47" s="43">
        <f>SUMIFS('Journal Entries'!$L:$L,'Journal Entries'!$K:$K,$C47,'Journal Entries'!$C:$C,"&lt;="&amp;F$8,'Journal Entries'!$C:$C,"&gt;"&amp;E$8)</f>
        <v>0</v>
      </c>
      <c r="G47" s="43">
        <f>SUMIFS('Journal Entries'!$L:$L,'Journal Entries'!$K:$K,$C47,'Journal Entries'!$C:$C,"&lt;="&amp;G$8,'Journal Entries'!$C:$C,"&gt;"&amp;F$8)</f>
        <v>0</v>
      </c>
      <c r="H47" s="43">
        <f>SUMIFS('Journal Entries'!$L:$L,'Journal Entries'!$K:$K,$C47,'Journal Entries'!$C:$C,"&lt;="&amp;H$8,'Journal Entries'!$C:$C,"&gt;"&amp;G$8)</f>
        <v>0</v>
      </c>
      <c r="I47" s="43">
        <f>SUMIFS('Journal Entries'!$L:$L,'Journal Entries'!$K:$K,$C47,'Journal Entries'!$C:$C,"&lt;="&amp;I$8,'Journal Entries'!$C:$C,"&gt;"&amp;H$8)</f>
        <v>0</v>
      </c>
      <c r="J47" s="43">
        <f>SUMIFS('Journal Entries'!$L:$L,'Journal Entries'!$K:$K,$C47,'Journal Entries'!$C:$C,"&lt;="&amp;J$8,'Journal Entries'!$C:$C,"&gt;"&amp;I$8)</f>
        <v>0</v>
      </c>
      <c r="K47" s="43">
        <f>SUMIFS('Journal Entries'!$L:$L,'Journal Entries'!$K:$K,$C47,'Journal Entries'!$C:$C,"&lt;="&amp;K$8,'Journal Entries'!$C:$C,"&gt;"&amp;J$8)</f>
        <v>0</v>
      </c>
      <c r="L47" s="43">
        <f>SUMIFS('Journal Entries'!$L:$L,'Journal Entries'!$K:$K,$C47,'Journal Entries'!$C:$C,"&lt;="&amp;L$8,'Journal Entries'!$C:$C,"&gt;"&amp;K$8)</f>
        <v>0</v>
      </c>
      <c r="M47" s="43">
        <f>SUMIFS('Journal Entries'!$L:$L,'Journal Entries'!$K:$K,$C47,'Journal Entries'!$C:$C,"&lt;="&amp;M$8,'Journal Entries'!$C:$C,"&gt;"&amp;L$8)</f>
        <v>0</v>
      </c>
      <c r="N47" s="43">
        <f>SUMIFS('Journal Entries'!$L:$L,'Journal Entries'!$K:$K,$C47,'Journal Entries'!$C:$C,"&lt;="&amp;N$8,'Journal Entries'!$C:$C,"&gt;"&amp;M$8)</f>
        <v>0</v>
      </c>
      <c r="O47" s="43">
        <f>SUMIFS('Journal Entries'!$L:$L,'Journal Entries'!$K:$K,$C47,'Journal Entries'!$C:$C,"&lt;="&amp;O$8,'Journal Entries'!$C:$C,"&gt;"&amp;N$8)</f>
        <v>0</v>
      </c>
      <c r="P47" s="43">
        <f>SUMIFS('Journal Entries'!$L:$L,'Journal Entries'!$K:$K,$C47,'Journal Entries'!$C:$C,"&lt;="&amp;P$8,'Journal Entries'!$C:$C,"&gt;"&amp;O$8)</f>
        <v>0</v>
      </c>
      <c r="Q47" s="43">
        <f>SUMIFS('Journal Entries'!$L:$L,'Journal Entries'!$K:$K,$C47,'Journal Entries'!$C:$C,"&lt;="&amp;Q$8,'Journal Entries'!$C:$C,"&gt;"&amp;P$8)</f>
        <v>0</v>
      </c>
      <c r="R47" s="43">
        <f>SUMIFS('Journal Entries'!$L:$L,'Journal Entries'!$K:$K,$C47,'Journal Entries'!$C:$C,"&lt;="&amp;R$8,'Journal Entries'!$C:$C,"&gt;"&amp;Q$8)</f>
        <v>0</v>
      </c>
      <c r="S47" s="43">
        <f>SUMIFS('Journal Entries'!$L:$L,'Journal Entries'!$K:$K,$C47,'Journal Entries'!$C:$C,"&lt;="&amp;S$8,'Journal Entries'!$C:$C,"&gt;"&amp;R$8)</f>
        <v>0</v>
      </c>
      <c r="T47" s="43">
        <f>SUMIFS('Journal Entries'!$L:$L,'Journal Entries'!$K:$K,$C47,'Journal Entries'!$C:$C,"&lt;="&amp;T$8,'Journal Entries'!$C:$C,"&gt;"&amp;S$8)</f>
        <v>0</v>
      </c>
      <c r="U47" s="43">
        <f>SUMIFS('Journal Entries'!$L:$L,'Journal Entries'!$K:$K,$C47,'Journal Entries'!$C:$C,"&lt;="&amp;U$8,'Journal Entries'!$C:$C,"&gt;"&amp;T$8)</f>
        <v>0</v>
      </c>
      <c r="V47" s="43">
        <f>SUMIFS('Journal Entries'!$L:$L,'Journal Entries'!$K:$K,$C47,'Journal Entries'!$C:$C,"&lt;="&amp;V$8,'Journal Entries'!$C:$C,"&gt;"&amp;U$8)</f>
        <v>0</v>
      </c>
      <c r="W47" s="43">
        <f>SUMIFS('Journal Entries'!$L:$L,'Journal Entries'!$K:$K,$C47,'Journal Entries'!$C:$C,"&lt;="&amp;W$8,'Journal Entries'!$C:$C,"&gt;"&amp;V$8)</f>
        <v>0</v>
      </c>
      <c r="X47" s="43">
        <f>SUMIFS('Journal Entries'!$L:$L,'Journal Entries'!$K:$K,$C47,'Journal Entries'!$C:$C,"&lt;="&amp;X$8,'Journal Entries'!$C:$C,"&gt;"&amp;W$8)</f>
        <v>0</v>
      </c>
      <c r="Y47" s="43">
        <f>SUMIFS('Journal Entries'!$L:$L,'Journal Entries'!$K:$K,$C47,'Journal Entries'!$C:$C,"&lt;="&amp;Y$8,'Journal Entries'!$C:$C,"&gt;"&amp;X$8)</f>
        <v>0</v>
      </c>
      <c r="Z47" s="43">
        <f>SUMIFS('Journal Entries'!$L:$L,'Journal Entries'!$K:$K,$C47,'Journal Entries'!$C:$C,"&lt;="&amp;Z$8,'Journal Entries'!$C:$C,"&gt;"&amp;Y$8)</f>
        <v>0</v>
      </c>
      <c r="AA47" s="43">
        <f>SUMIFS('Journal Entries'!$L:$L,'Journal Entries'!$K:$K,$C47,'Journal Entries'!$C:$C,"&lt;="&amp;AA$8,'Journal Entries'!$C:$C,"&gt;"&amp;Z$8)</f>
        <v>0</v>
      </c>
      <c r="AB47" s="43">
        <f>SUMIFS('Journal Entries'!$L:$L,'Journal Entries'!$K:$K,$C47,'Journal Entries'!$C:$C,"&lt;="&amp;AB$8,'Journal Entries'!$C:$C,"&gt;"&amp;AA$8)</f>
        <v>0</v>
      </c>
      <c r="AC47" s="43">
        <f>SUMIFS('Journal Entries'!$L:$L,'Journal Entries'!$K:$K,$C47,'Journal Entries'!$C:$C,"&lt;="&amp;AC$8,'Journal Entries'!$C:$C,"&gt;"&amp;AB$8)</f>
        <v>0</v>
      </c>
      <c r="AD47" s="43">
        <f>SUMIFS('Journal Entries'!$L:$L,'Journal Entries'!$K:$K,$C47,'Journal Entries'!$C:$C,"&lt;="&amp;AD$8,'Journal Entries'!$C:$C,"&gt;"&amp;AC$8)</f>
        <v>0</v>
      </c>
      <c r="AE47" s="43">
        <f>SUMIFS('Journal Entries'!$L:$L,'Journal Entries'!$K:$K,$C47,'Journal Entries'!$C:$C,"&lt;="&amp;AE$8,'Journal Entries'!$C:$C,"&gt;"&amp;AD$8)</f>
        <v>0</v>
      </c>
      <c r="AF47" s="43">
        <f>SUMIFS('Journal Entries'!$L:$L,'Journal Entries'!$K:$K,$C47,'Journal Entries'!$C:$C,"&lt;="&amp;AF$8,'Journal Entries'!$C:$C,"&gt;"&amp;AE$8)</f>
        <v>0</v>
      </c>
      <c r="AG47" s="43">
        <f>SUMIFS('Journal Entries'!$L:$L,'Journal Entries'!$K:$K,$C47,'Journal Entries'!$C:$C,"&lt;="&amp;AG$8,'Journal Entries'!$C:$C,"&gt;"&amp;AF$8)</f>
        <v>0</v>
      </c>
      <c r="AH47" s="43">
        <f>SUMIFS('Journal Entries'!$L:$L,'Journal Entries'!$K:$K,$C47,'Journal Entries'!$C:$C,"&lt;="&amp;AH$8,'Journal Entries'!$C:$C,"&gt;"&amp;AG$8)</f>
        <v>0</v>
      </c>
      <c r="AI47" s="43">
        <f>SUMIFS('Journal Entries'!$L:$L,'Journal Entries'!$K:$K,$C47,'Journal Entries'!$C:$C,"&lt;="&amp;AI$8,'Journal Entries'!$C:$C,"&gt;"&amp;AH$8)</f>
        <v>0</v>
      </c>
      <c r="AJ47" s="43">
        <f>SUMIFS('Journal Entries'!$L:$L,'Journal Entries'!$K:$K,$C47,'Journal Entries'!$C:$C,"&lt;="&amp;AJ$8,'Journal Entries'!$C:$C,"&gt;"&amp;AI$8)</f>
        <v>0</v>
      </c>
      <c r="AK47" s="43">
        <f>SUMIFS('Journal Entries'!$L:$L,'Journal Entries'!$K:$K,$C47,'Journal Entries'!$C:$C,"&lt;="&amp;AK$8,'Journal Entries'!$C:$C,"&gt;"&amp;AJ$8)</f>
        <v>0</v>
      </c>
      <c r="AL47" s="43">
        <f>SUMIFS('Journal Entries'!$L:$L,'Journal Entries'!$K:$K,$C47,'Journal Entries'!$C:$C,"&lt;="&amp;AL$8,'Journal Entries'!$C:$C,"&gt;"&amp;AK$8)</f>
        <v>0</v>
      </c>
      <c r="AM47" s="43">
        <f>SUMIFS('Journal Entries'!$L:$L,'Journal Entries'!$K:$K,$C47,'Journal Entries'!$C:$C,"&lt;="&amp;AM$8,'Journal Entries'!$C:$C,"&gt;"&amp;AL$8)</f>
        <v>0</v>
      </c>
      <c r="AN47" s="43">
        <f>SUMIFS('Journal Entries'!$L:$L,'Journal Entries'!$K:$K,$C47,'Journal Entries'!$C:$C,"&lt;="&amp;AN$8,'Journal Entries'!$C:$C,"&gt;"&amp;AM$8)</f>
        <v>0</v>
      </c>
      <c r="AO47" s="43">
        <f>SUMIFS('Journal Entries'!$L:$L,'Journal Entries'!$K:$K,$C47,'Journal Entries'!$C:$C,"&lt;="&amp;AO$8,'Journal Entries'!$C:$C,"&gt;"&amp;AN$8)</f>
        <v>0</v>
      </c>
      <c r="AP47" s="43">
        <f>SUMIFS('Journal Entries'!$L:$L,'Journal Entries'!$K:$K,$C47,'Journal Entries'!$C:$C,"&lt;="&amp;AP$8,'Journal Entries'!$C:$C,"&gt;"&amp;AO$8)</f>
        <v>0</v>
      </c>
      <c r="AQ47" s="43">
        <f>SUMIFS('Journal Entries'!$L:$L,'Journal Entries'!$K:$K,$C47,'Journal Entries'!$C:$C,"&lt;="&amp;AQ$8,'Journal Entries'!$C:$C,"&gt;"&amp;AP$8)</f>
        <v>0</v>
      </c>
      <c r="AR47" s="43">
        <f>SUMIFS('Journal Entries'!$L:$L,'Journal Entries'!$K:$K,$C47,'Journal Entries'!$C:$C,"&lt;="&amp;AR$8,'Journal Entries'!$C:$C,"&gt;"&amp;AQ$8)</f>
        <v>0</v>
      </c>
      <c r="AS47" s="43">
        <f>SUMIFS('Journal Entries'!$L:$L,'Journal Entries'!$K:$K,$C47,'Journal Entries'!$C:$C,"&lt;="&amp;AS$8,'Journal Entries'!$C:$C,"&gt;"&amp;AR$8)</f>
        <v>0</v>
      </c>
      <c r="AT47" s="43">
        <f>SUMIFS('Journal Entries'!$L:$L,'Journal Entries'!$K:$K,$C47,'Journal Entries'!$C:$C,"&lt;="&amp;AT$8,'Journal Entries'!$C:$C,"&gt;"&amp;AS$8)</f>
        <v>0</v>
      </c>
      <c r="AU47" s="43">
        <f>SUMIFS('Journal Entries'!$L:$L,'Journal Entries'!$K:$K,$C47,'Journal Entries'!$C:$C,"&lt;="&amp;AU$8,'Journal Entries'!$C:$C,"&gt;"&amp;AT$8)</f>
        <v>0</v>
      </c>
      <c r="AV47" s="43">
        <f>SUMIFS('Journal Entries'!$L:$L,'Journal Entries'!$K:$K,$C47,'Journal Entries'!$C:$C,"&lt;="&amp;AV$8,'Journal Entries'!$C:$C,"&gt;"&amp;AU$8)</f>
        <v>0</v>
      </c>
      <c r="AW47" s="43">
        <f>SUMIFS('Journal Entries'!$L:$L,'Journal Entries'!$K:$K,$C47,'Journal Entries'!$C:$C,"&lt;="&amp;AW$8,'Journal Entries'!$C:$C,"&gt;"&amp;AV$8)</f>
        <v>0</v>
      </c>
      <c r="AX47" s="43">
        <f>SUMIFS('Journal Entries'!$L:$L,'Journal Entries'!$K:$K,$C47,'Journal Entries'!$C:$C,"&lt;="&amp;AX$8,'Journal Entries'!$C:$C,"&gt;"&amp;AW$8)</f>
        <v>0</v>
      </c>
      <c r="AY47" s="43">
        <f>SUMIFS('Journal Entries'!$L:$L,'Journal Entries'!$K:$K,$C47,'Journal Entries'!$C:$C,"&lt;="&amp;AY$8,'Journal Entries'!$C:$C,"&gt;"&amp;AX$8)</f>
        <v>0</v>
      </c>
      <c r="AZ47" s="43">
        <f>SUMIFS('Journal Entries'!$L:$L,'Journal Entries'!$K:$K,$C47,'Journal Entries'!$C:$C,"&lt;="&amp;AZ$8,'Journal Entries'!$C:$C,"&gt;"&amp;AY$8)</f>
        <v>0</v>
      </c>
      <c r="BA47" s="43">
        <f>SUMIFS('Journal Entries'!$L:$L,'Journal Entries'!$K:$K,$C47,'Journal Entries'!$C:$C,"&lt;="&amp;BA$8,'Journal Entries'!$C:$C,"&gt;"&amp;AZ$8)</f>
        <v>0</v>
      </c>
      <c r="BB47" s="43">
        <f>SUMIFS('Journal Entries'!$L:$L,'Journal Entries'!$K:$K,$C47,'Journal Entries'!$C:$C,"&lt;="&amp;BB$8,'Journal Entries'!$C:$C,"&gt;"&amp;BA$8)</f>
        <v>0</v>
      </c>
      <c r="BC47" s="43">
        <f>SUMIFS('Journal Entries'!$L:$L,'Journal Entries'!$K:$K,$C47,'Journal Entries'!$C:$C,"&lt;="&amp;BC$8,'Journal Entries'!$C:$C,"&gt;"&amp;BB$8)</f>
        <v>0</v>
      </c>
      <c r="BD47" s="43">
        <f>SUMIFS('Journal Entries'!$L:$L,'Journal Entries'!$K:$K,$C47,'Journal Entries'!$C:$C,"&lt;="&amp;BD$8,'Journal Entries'!$C:$C,"&gt;"&amp;BC$8)</f>
        <v>0</v>
      </c>
      <c r="BE47" s="43">
        <f>SUMIFS('Journal Entries'!$L:$L,'Journal Entries'!$K:$K,$C47,'Journal Entries'!$C:$C,"&lt;="&amp;BE$8,'Journal Entries'!$C:$C,"&gt;"&amp;BD$8)</f>
        <v>0</v>
      </c>
      <c r="BF47" s="43">
        <f>SUMIFS('Journal Entries'!$L:$L,'Journal Entries'!$K:$K,$C47,'Journal Entries'!$C:$C,"&lt;="&amp;BF$8,'Journal Entries'!$C:$C,"&gt;"&amp;BE$8)</f>
        <v>0</v>
      </c>
      <c r="BG47" s="43">
        <f>SUMIFS('Journal Entries'!$L:$L,'Journal Entries'!$K:$K,$C47,'Journal Entries'!$C:$C,"&lt;="&amp;BG$8,'Journal Entries'!$C:$C,"&gt;"&amp;BF$8)</f>
        <v>0</v>
      </c>
      <c r="BH47" s="43">
        <f>SUMIFS('Journal Entries'!$L:$L,'Journal Entries'!$K:$K,$C47,'Journal Entries'!$C:$C,"&lt;="&amp;BH$8,'Journal Entries'!$C:$C,"&gt;"&amp;BG$8)</f>
        <v>0</v>
      </c>
      <c r="BI47" s="43">
        <f>SUMIFS('Journal Entries'!$L:$L,'Journal Entries'!$K:$K,$C47,'Journal Entries'!$C:$C,"&lt;="&amp;BI$8,'Journal Entries'!$C:$C,"&gt;"&amp;BH$8)</f>
        <v>0</v>
      </c>
      <c r="BJ47" s="43">
        <f>SUMIFS('Journal Entries'!$L:$L,'Journal Entries'!$K:$K,$C47,'Journal Entries'!$C:$C,"&lt;="&amp;BJ$8,'Journal Entries'!$C:$C,"&gt;"&amp;BI$8)</f>
        <v>0</v>
      </c>
      <c r="BK47" s="43">
        <f>SUMIFS('Journal Entries'!$L:$L,'Journal Entries'!$K:$K,$C47,'Journal Entries'!$C:$C,"&lt;="&amp;BK$8,'Journal Entries'!$C:$C,"&gt;"&amp;BJ$8)</f>
        <v>0</v>
      </c>
      <c r="BL47" s="43">
        <f>SUMIFS('Journal Entries'!$L:$L,'Journal Entries'!$K:$K,$C47,'Journal Entries'!$C:$C,"&lt;="&amp;BL$8,'Journal Entries'!$C:$C,"&gt;"&amp;BK$8)</f>
        <v>0</v>
      </c>
    </row>
    <row r="48" spans="2:64" x14ac:dyDescent="0.25">
      <c r="B48" s="10">
        <v>4000</v>
      </c>
      <c r="C48" s="10" t="str">
        <f>VLOOKUP(B48,'Chart of Accounts'!$B$3:$C$95,2,0)</f>
        <v>Interest income</v>
      </c>
      <c r="D48" s="525">
        <f t="shared" si="2"/>
        <v>-339770.17566417466</v>
      </c>
      <c r="E48" s="43">
        <f>SUMIFS('Journal Entries'!$L:$L,'Journal Entries'!$K:$K,$C48,'Journal Entries'!$C:$C,"&lt;="&amp;E$8,'Journal Entries'!$C:$C,"&gt;"&amp;D$8)</f>
        <v>0</v>
      </c>
      <c r="F48" s="43">
        <f>SUMIFS('Journal Entries'!$L:$L,'Journal Entries'!$K:$K,$C48,'Journal Entries'!$C:$C,"&lt;="&amp;F$8,'Journal Entries'!$C:$C,"&gt;"&amp;E$8)</f>
        <v>0</v>
      </c>
      <c r="G48" s="43">
        <f>SUMIFS('Journal Entries'!$L:$L,'Journal Entries'!$K:$K,$C48,'Journal Entries'!$C:$C,"&lt;="&amp;G$8,'Journal Entries'!$C:$C,"&gt;"&amp;F$8)</f>
        <v>0</v>
      </c>
      <c r="H48" s="43">
        <f>SUMIFS('Journal Entries'!$L:$L,'Journal Entries'!$K:$K,$C48,'Journal Entries'!$C:$C,"&lt;="&amp;H$8,'Journal Entries'!$C:$C,"&gt;"&amp;G$8)</f>
        <v>0</v>
      </c>
      <c r="I48" s="43">
        <f>SUMIFS('Journal Entries'!$L:$L,'Journal Entries'!$K:$K,$C48,'Journal Entries'!$C:$C,"&lt;="&amp;I$8,'Journal Entries'!$C:$C,"&gt;"&amp;H$8)</f>
        <v>0</v>
      </c>
      <c r="J48" s="43">
        <f>SUMIFS('Journal Entries'!$L:$L,'Journal Entries'!$K:$K,$C48,'Journal Entries'!$C:$C,"&lt;="&amp;J$8,'Journal Entries'!$C:$C,"&gt;"&amp;I$8)</f>
        <v>-50833.333333333336</v>
      </c>
      <c r="K48" s="43">
        <f>SUMIFS('Journal Entries'!$L:$L,'Journal Entries'!$K:$K,$C48,'Journal Entries'!$C:$C,"&lt;="&amp;K$8,'Journal Entries'!$C:$C,"&gt;"&amp;J$8)</f>
        <v>-50081.031637831358</v>
      </c>
      <c r="L48" s="43">
        <f>SUMIFS('Journal Entries'!$L:$L,'Journal Entries'!$K:$K,$C48,'Journal Entries'!$C:$C,"&lt;="&amp;L$8,'Journal Entries'!$C:$C,"&gt;"&amp;K$8)</f>
        <v>-49321.24492548631</v>
      </c>
      <c r="M48" s="43">
        <f>SUMIFS('Journal Entries'!$L:$L,'Journal Entries'!$K:$K,$C48,'Journal Entries'!$C:$C,"&lt;="&amp;M$8,'Journal Entries'!$C:$C,"&gt;"&amp;L$8)</f>
        <v>-48553.892425283324</v>
      </c>
      <c r="N48" s="43">
        <f>SUMIFS('Journal Entries'!$L:$L,'Journal Entries'!$K:$K,$C48,'Journal Entries'!$C:$C,"&lt;="&amp;N$8,'Journal Entries'!$C:$C,"&gt;"&amp;M$8)</f>
        <v>-47778.89244184782</v>
      </c>
      <c r="O48" s="43">
        <f>SUMIFS('Journal Entries'!$L:$L,'Journal Entries'!$K:$K,$C48,'Journal Entries'!$C:$C,"&lt;="&amp;O$8,'Journal Entries'!$C:$C,"&gt;"&amp;N$8)</f>
        <v>-46996.162344459532</v>
      </c>
      <c r="P48" s="43">
        <f>SUMIFS('Journal Entries'!$L:$L,'Journal Entries'!$K:$K,$C48,'Journal Entries'!$C:$C,"&lt;="&amp;P$8,'Journal Entries'!$C:$C,"&gt;"&amp;O$8)</f>
        <v>-46205.618555932961</v>
      </c>
      <c r="Q48" s="43">
        <f>SUMIFS('Journal Entries'!$L:$L,'Journal Entries'!$K:$K,$C48,'Journal Entries'!$C:$C,"&lt;="&amp;Q$8,'Journal Entries'!$C:$C,"&gt;"&amp;P$8)</f>
        <v>0</v>
      </c>
      <c r="R48" s="43">
        <f>SUMIFS('Journal Entries'!$L:$L,'Journal Entries'!$K:$K,$C48,'Journal Entries'!$C:$C,"&lt;="&amp;R$8,'Journal Entries'!$C:$C,"&gt;"&amp;Q$8)</f>
        <v>0</v>
      </c>
      <c r="S48" s="43">
        <f>SUMIFS('Journal Entries'!$L:$L,'Journal Entries'!$K:$K,$C48,'Journal Entries'!$C:$C,"&lt;="&amp;S$8,'Journal Entries'!$C:$C,"&gt;"&amp;R$8)</f>
        <v>0</v>
      </c>
      <c r="T48" s="43">
        <f>SUMIFS('Journal Entries'!$L:$L,'Journal Entries'!$K:$K,$C48,'Journal Entries'!$C:$C,"&lt;="&amp;T$8,'Journal Entries'!$C:$C,"&gt;"&amp;S$8)</f>
        <v>0</v>
      </c>
      <c r="U48" s="43">
        <f>SUMIFS('Journal Entries'!$L:$L,'Journal Entries'!$K:$K,$C48,'Journal Entries'!$C:$C,"&lt;="&amp;U$8,'Journal Entries'!$C:$C,"&gt;"&amp;T$8)</f>
        <v>0</v>
      </c>
      <c r="V48" s="43">
        <f>SUMIFS('Journal Entries'!$L:$L,'Journal Entries'!$K:$K,$C48,'Journal Entries'!$C:$C,"&lt;="&amp;V$8,'Journal Entries'!$C:$C,"&gt;"&amp;U$8)</f>
        <v>0</v>
      </c>
      <c r="W48" s="43">
        <f>SUMIFS('Journal Entries'!$L:$L,'Journal Entries'!$K:$K,$C48,'Journal Entries'!$C:$C,"&lt;="&amp;W$8,'Journal Entries'!$C:$C,"&gt;"&amp;V$8)</f>
        <v>0</v>
      </c>
      <c r="X48" s="43">
        <f>SUMIFS('Journal Entries'!$L:$L,'Journal Entries'!$K:$K,$C48,'Journal Entries'!$C:$C,"&lt;="&amp;X$8,'Journal Entries'!$C:$C,"&gt;"&amp;W$8)</f>
        <v>0</v>
      </c>
      <c r="Y48" s="43">
        <f>SUMIFS('Journal Entries'!$L:$L,'Journal Entries'!$K:$K,$C48,'Journal Entries'!$C:$C,"&lt;="&amp;Y$8,'Journal Entries'!$C:$C,"&gt;"&amp;X$8)</f>
        <v>0</v>
      </c>
      <c r="Z48" s="43">
        <f>SUMIFS('Journal Entries'!$L:$L,'Journal Entries'!$K:$K,$C48,'Journal Entries'!$C:$C,"&lt;="&amp;Z$8,'Journal Entries'!$C:$C,"&gt;"&amp;Y$8)</f>
        <v>0</v>
      </c>
      <c r="AA48" s="43">
        <f>SUMIFS('Journal Entries'!$L:$L,'Journal Entries'!$K:$K,$C48,'Journal Entries'!$C:$C,"&lt;="&amp;AA$8,'Journal Entries'!$C:$C,"&gt;"&amp;Z$8)</f>
        <v>0</v>
      </c>
      <c r="AB48" s="43">
        <f>SUMIFS('Journal Entries'!$L:$L,'Journal Entries'!$K:$K,$C48,'Journal Entries'!$C:$C,"&lt;="&amp;AB$8,'Journal Entries'!$C:$C,"&gt;"&amp;AA$8)</f>
        <v>0</v>
      </c>
      <c r="AC48" s="43">
        <f>SUMIFS('Journal Entries'!$L:$L,'Journal Entries'!$K:$K,$C48,'Journal Entries'!$C:$C,"&lt;="&amp;AC$8,'Journal Entries'!$C:$C,"&gt;"&amp;AB$8)</f>
        <v>0</v>
      </c>
      <c r="AD48" s="43">
        <f>SUMIFS('Journal Entries'!$L:$L,'Journal Entries'!$K:$K,$C48,'Journal Entries'!$C:$C,"&lt;="&amp;AD$8,'Journal Entries'!$C:$C,"&gt;"&amp;AC$8)</f>
        <v>0</v>
      </c>
      <c r="AE48" s="43">
        <f>SUMIFS('Journal Entries'!$L:$L,'Journal Entries'!$K:$K,$C48,'Journal Entries'!$C:$C,"&lt;="&amp;AE$8,'Journal Entries'!$C:$C,"&gt;"&amp;AD$8)</f>
        <v>0</v>
      </c>
      <c r="AF48" s="43">
        <f>SUMIFS('Journal Entries'!$L:$L,'Journal Entries'!$K:$K,$C48,'Journal Entries'!$C:$C,"&lt;="&amp;AF$8,'Journal Entries'!$C:$C,"&gt;"&amp;AE$8)</f>
        <v>0</v>
      </c>
      <c r="AG48" s="43">
        <f>SUMIFS('Journal Entries'!$L:$L,'Journal Entries'!$K:$K,$C48,'Journal Entries'!$C:$C,"&lt;="&amp;AG$8,'Journal Entries'!$C:$C,"&gt;"&amp;AF$8)</f>
        <v>0</v>
      </c>
      <c r="AH48" s="43">
        <f>SUMIFS('Journal Entries'!$L:$L,'Journal Entries'!$K:$K,$C48,'Journal Entries'!$C:$C,"&lt;="&amp;AH$8,'Journal Entries'!$C:$C,"&gt;"&amp;AG$8)</f>
        <v>0</v>
      </c>
      <c r="AI48" s="43">
        <f>SUMIFS('Journal Entries'!$L:$L,'Journal Entries'!$K:$K,$C48,'Journal Entries'!$C:$C,"&lt;="&amp;AI$8,'Journal Entries'!$C:$C,"&gt;"&amp;AH$8)</f>
        <v>0</v>
      </c>
      <c r="AJ48" s="43">
        <f>SUMIFS('Journal Entries'!$L:$L,'Journal Entries'!$K:$K,$C48,'Journal Entries'!$C:$C,"&lt;="&amp;AJ$8,'Journal Entries'!$C:$C,"&gt;"&amp;AI$8)</f>
        <v>0</v>
      </c>
      <c r="AK48" s="43">
        <f>SUMIFS('Journal Entries'!$L:$L,'Journal Entries'!$K:$K,$C48,'Journal Entries'!$C:$C,"&lt;="&amp;AK$8,'Journal Entries'!$C:$C,"&gt;"&amp;AJ$8)</f>
        <v>0</v>
      </c>
      <c r="AL48" s="43">
        <f>SUMIFS('Journal Entries'!$L:$L,'Journal Entries'!$K:$K,$C48,'Journal Entries'!$C:$C,"&lt;="&amp;AL$8,'Journal Entries'!$C:$C,"&gt;"&amp;AK$8)</f>
        <v>0</v>
      </c>
      <c r="AM48" s="43">
        <f>SUMIFS('Journal Entries'!$L:$L,'Journal Entries'!$K:$K,$C48,'Journal Entries'!$C:$C,"&lt;="&amp;AM$8,'Journal Entries'!$C:$C,"&gt;"&amp;AL$8)</f>
        <v>0</v>
      </c>
      <c r="AN48" s="43">
        <f>SUMIFS('Journal Entries'!$L:$L,'Journal Entries'!$K:$K,$C48,'Journal Entries'!$C:$C,"&lt;="&amp;AN$8,'Journal Entries'!$C:$C,"&gt;"&amp;AM$8)</f>
        <v>0</v>
      </c>
      <c r="AO48" s="43">
        <f>SUMIFS('Journal Entries'!$L:$L,'Journal Entries'!$K:$K,$C48,'Journal Entries'!$C:$C,"&lt;="&amp;AO$8,'Journal Entries'!$C:$C,"&gt;"&amp;AN$8)</f>
        <v>0</v>
      </c>
      <c r="AP48" s="43">
        <f>SUMIFS('Journal Entries'!$L:$L,'Journal Entries'!$K:$K,$C48,'Journal Entries'!$C:$C,"&lt;="&amp;AP$8,'Journal Entries'!$C:$C,"&gt;"&amp;AO$8)</f>
        <v>0</v>
      </c>
      <c r="AQ48" s="43">
        <f>SUMIFS('Journal Entries'!$L:$L,'Journal Entries'!$K:$K,$C48,'Journal Entries'!$C:$C,"&lt;="&amp;AQ$8,'Journal Entries'!$C:$C,"&gt;"&amp;AP$8)</f>
        <v>0</v>
      </c>
      <c r="AR48" s="43">
        <f>SUMIFS('Journal Entries'!$L:$L,'Journal Entries'!$K:$K,$C48,'Journal Entries'!$C:$C,"&lt;="&amp;AR$8,'Journal Entries'!$C:$C,"&gt;"&amp;AQ$8)</f>
        <v>0</v>
      </c>
      <c r="AS48" s="43">
        <f>SUMIFS('Journal Entries'!$L:$L,'Journal Entries'!$K:$K,$C48,'Journal Entries'!$C:$C,"&lt;="&amp;AS$8,'Journal Entries'!$C:$C,"&gt;"&amp;AR$8)</f>
        <v>0</v>
      </c>
      <c r="AT48" s="43">
        <f>SUMIFS('Journal Entries'!$L:$L,'Journal Entries'!$K:$K,$C48,'Journal Entries'!$C:$C,"&lt;="&amp;AT$8,'Journal Entries'!$C:$C,"&gt;"&amp;AS$8)</f>
        <v>0</v>
      </c>
      <c r="AU48" s="43">
        <f>SUMIFS('Journal Entries'!$L:$L,'Journal Entries'!$K:$K,$C48,'Journal Entries'!$C:$C,"&lt;="&amp;AU$8,'Journal Entries'!$C:$C,"&gt;"&amp;AT$8)</f>
        <v>0</v>
      </c>
      <c r="AV48" s="43">
        <f>SUMIFS('Journal Entries'!$L:$L,'Journal Entries'!$K:$K,$C48,'Journal Entries'!$C:$C,"&lt;="&amp;AV$8,'Journal Entries'!$C:$C,"&gt;"&amp;AU$8)</f>
        <v>0</v>
      </c>
      <c r="AW48" s="43">
        <f>SUMIFS('Journal Entries'!$L:$L,'Journal Entries'!$K:$K,$C48,'Journal Entries'!$C:$C,"&lt;="&amp;AW$8,'Journal Entries'!$C:$C,"&gt;"&amp;AV$8)</f>
        <v>0</v>
      </c>
      <c r="AX48" s="43">
        <f>SUMIFS('Journal Entries'!$L:$L,'Journal Entries'!$K:$K,$C48,'Journal Entries'!$C:$C,"&lt;="&amp;AX$8,'Journal Entries'!$C:$C,"&gt;"&amp;AW$8)</f>
        <v>0</v>
      </c>
      <c r="AY48" s="43">
        <f>SUMIFS('Journal Entries'!$L:$L,'Journal Entries'!$K:$K,$C48,'Journal Entries'!$C:$C,"&lt;="&amp;AY$8,'Journal Entries'!$C:$C,"&gt;"&amp;AX$8)</f>
        <v>0</v>
      </c>
      <c r="AZ48" s="43">
        <f>SUMIFS('Journal Entries'!$L:$L,'Journal Entries'!$K:$K,$C48,'Journal Entries'!$C:$C,"&lt;="&amp;AZ$8,'Journal Entries'!$C:$C,"&gt;"&amp;AY$8)</f>
        <v>0</v>
      </c>
      <c r="BA48" s="43">
        <f>SUMIFS('Journal Entries'!$L:$L,'Journal Entries'!$K:$K,$C48,'Journal Entries'!$C:$C,"&lt;="&amp;BA$8,'Journal Entries'!$C:$C,"&gt;"&amp;AZ$8)</f>
        <v>0</v>
      </c>
      <c r="BB48" s="43">
        <f>SUMIFS('Journal Entries'!$L:$L,'Journal Entries'!$K:$K,$C48,'Journal Entries'!$C:$C,"&lt;="&amp;BB$8,'Journal Entries'!$C:$C,"&gt;"&amp;BA$8)</f>
        <v>0</v>
      </c>
      <c r="BC48" s="43">
        <f>SUMIFS('Journal Entries'!$L:$L,'Journal Entries'!$K:$K,$C48,'Journal Entries'!$C:$C,"&lt;="&amp;BC$8,'Journal Entries'!$C:$C,"&gt;"&amp;BB$8)</f>
        <v>0</v>
      </c>
      <c r="BD48" s="43">
        <f>SUMIFS('Journal Entries'!$L:$L,'Journal Entries'!$K:$K,$C48,'Journal Entries'!$C:$C,"&lt;="&amp;BD$8,'Journal Entries'!$C:$C,"&gt;"&amp;BC$8)</f>
        <v>0</v>
      </c>
      <c r="BE48" s="43">
        <f>SUMIFS('Journal Entries'!$L:$L,'Journal Entries'!$K:$K,$C48,'Journal Entries'!$C:$C,"&lt;="&amp;BE$8,'Journal Entries'!$C:$C,"&gt;"&amp;BD$8)</f>
        <v>0</v>
      </c>
      <c r="BF48" s="43">
        <f>SUMIFS('Journal Entries'!$L:$L,'Journal Entries'!$K:$K,$C48,'Journal Entries'!$C:$C,"&lt;="&amp;BF$8,'Journal Entries'!$C:$C,"&gt;"&amp;BE$8)</f>
        <v>0</v>
      </c>
      <c r="BG48" s="43">
        <f>SUMIFS('Journal Entries'!$L:$L,'Journal Entries'!$K:$K,$C48,'Journal Entries'!$C:$C,"&lt;="&amp;BG$8,'Journal Entries'!$C:$C,"&gt;"&amp;BF$8)</f>
        <v>0</v>
      </c>
      <c r="BH48" s="43">
        <f>SUMIFS('Journal Entries'!$L:$L,'Journal Entries'!$K:$K,$C48,'Journal Entries'!$C:$C,"&lt;="&amp;BH$8,'Journal Entries'!$C:$C,"&gt;"&amp;BG$8)</f>
        <v>0</v>
      </c>
      <c r="BI48" s="43">
        <f>SUMIFS('Journal Entries'!$L:$L,'Journal Entries'!$K:$K,$C48,'Journal Entries'!$C:$C,"&lt;="&amp;BI$8,'Journal Entries'!$C:$C,"&gt;"&amp;BH$8)</f>
        <v>0</v>
      </c>
      <c r="BJ48" s="43">
        <f>SUMIFS('Journal Entries'!$L:$L,'Journal Entries'!$K:$K,$C48,'Journal Entries'!$C:$C,"&lt;="&amp;BJ$8,'Journal Entries'!$C:$C,"&gt;"&amp;BI$8)</f>
        <v>0</v>
      </c>
      <c r="BK48" s="43">
        <f>SUMIFS('Journal Entries'!$L:$L,'Journal Entries'!$K:$K,$C48,'Journal Entries'!$C:$C,"&lt;="&amp;BK$8,'Journal Entries'!$C:$C,"&gt;"&amp;BJ$8)</f>
        <v>0</v>
      </c>
      <c r="BL48" s="43">
        <f>SUMIFS('Journal Entries'!$L:$L,'Journal Entries'!$K:$K,$C48,'Journal Entries'!$C:$C,"&lt;="&amp;BL$8,'Journal Entries'!$C:$C,"&gt;"&amp;BK$8)</f>
        <v>0</v>
      </c>
    </row>
    <row r="49" spans="2:64" x14ac:dyDescent="0.25">
      <c r="B49" s="10">
        <v>4010</v>
      </c>
      <c r="C49" s="10" t="str">
        <f>VLOOKUP(B49,'Chart of Accounts'!$B$3:$C$95,2,0)</f>
        <v>Dividend income</v>
      </c>
      <c r="D49" s="525">
        <f t="shared" si="2"/>
        <v>-260000</v>
      </c>
      <c r="E49" s="43">
        <f>SUMIFS('Journal Entries'!$L:$L,'Journal Entries'!$K:$K,$C49,'Journal Entries'!$C:$C,"&lt;="&amp;E$8,'Journal Entries'!$C:$C,"&gt;"&amp;D$8)</f>
        <v>0</v>
      </c>
      <c r="F49" s="43">
        <f>SUMIFS('Journal Entries'!$L:$L,'Journal Entries'!$K:$K,$C49,'Journal Entries'!$C:$C,"&lt;="&amp;F$8,'Journal Entries'!$C:$C,"&gt;"&amp;E$8)</f>
        <v>-18333.333333333332</v>
      </c>
      <c r="G49" s="43">
        <f>SUMIFS('Journal Entries'!$L:$L,'Journal Entries'!$K:$K,$C49,'Journal Entries'!$C:$C,"&lt;="&amp;G$8,'Journal Entries'!$C:$C,"&gt;"&amp;F$8)</f>
        <v>-18333.333333333332</v>
      </c>
      <c r="H49" s="43">
        <f>SUMIFS('Journal Entries'!$L:$L,'Journal Entries'!$K:$K,$C49,'Journal Entries'!$C:$C,"&lt;="&amp;H$8,'Journal Entries'!$C:$C,"&gt;"&amp;G$8)</f>
        <v>-18333.333333333332</v>
      </c>
      <c r="I49" s="43">
        <f>SUMIFS('Journal Entries'!$L:$L,'Journal Entries'!$K:$K,$C49,'Journal Entries'!$C:$C,"&lt;="&amp;I$8,'Journal Entries'!$C:$C,"&gt;"&amp;H$8)</f>
        <v>-18333.333333333332</v>
      </c>
      <c r="J49" s="43">
        <f>SUMIFS('Journal Entries'!$L:$L,'Journal Entries'!$K:$K,$C49,'Journal Entries'!$C:$C,"&lt;="&amp;J$8,'Journal Entries'!$C:$C,"&gt;"&amp;I$8)</f>
        <v>-26666.666666666664</v>
      </c>
      <c r="K49" s="43">
        <f>SUMIFS('Journal Entries'!$L:$L,'Journal Entries'!$K:$K,$C49,'Journal Entries'!$C:$C,"&lt;="&amp;K$8,'Journal Entries'!$C:$C,"&gt;"&amp;J$8)</f>
        <v>-18333.333333333332</v>
      </c>
      <c r="L49" s="43">
        <f>SUMIFS('Journal Entries'!$L:$L,'Journal Entries'!$K:$K,$C49,'Journal Entries'!$C:$C,"&lt;="&amp;L$8,'Journal Entries'!$C:$C,"&gt;"&amp;K$8)</f>
        <v>-18333.333333333332</v>
      </c>
      <c r="M49" s="43">
        <f>SUMIFS('Journal Entries'!$L:$L,'Journal Entries'!$K:$K,$C49,'Journal Entries'!$C:$C,"&lt;="&amp;M$8,'Journal Entries'!$C:$C,"&gt;"&amp;L$8)</f>
        <v>-43333.333333333328</v>
      </c>
      <c r="N49" s="43">
        <f>SUMIFS('Journal Entries'!$L:$L,'Journal Entries'!$K:$K,$C49,'Journal Entries'!$C:$C,"&lt;="&amp;N$8,'Journal Entries'!$C:$C,"&gt;"&amp;M$8)</f>
        <v>-18333.333333333332</v>
      </c>
      <c r="O49" s="43">
        <f>SUMIFS('Journal Entries'!$L:$L,'Journal Entries'!$K:$K,$C49,'Journal Entries'!$C:$C,"&lt;="&amp;O$8,'Journal Entries'!$C:$C,"&gt;"&amp;N$8)</f>
        <v>-18333.333333333332</v>
      </c>
      <c r="P49" s="43">
        <f>SUMIFS('Journal Entries'!$L:$L,'Journal Entries'!$K:$K,$C49,'Journal Entries'!$C:$C,"&lt;="&amp;P$8,'Journal Entries'!$C:$C,"&gt;"&amp;O$8)</f>
        <v>-43333.333333333328</v>
      </c>
      <c r="Q49" s="43">
        <f>SUMIFS('Journal Entries'!$L:$L,'Journal Entries'!$K:$K,$C49,'Journal Entries'!$C:$C,"&lt;="&amp;Q$8,'Journal Entries'!$C:$C,"&gt;"&amp;P$8)</f>
        <v>0</v>
      </c>
      <c r="R49" s="43">
        <f>SUMIFS('Journal Entries'!$L:$L,'Journal Entries'!$K:$K,$C49,'Journal Entries'!$C:$C,"&lt;="&amp;R$8,'Journal Entries'!$C:$C,"&gt;"&amp;Q$8)</f>
        <v>0</v>
      </c>
      <c r="S49" s="43">
        <f>SUMIFS('Journal Entries'!$L:$L,'Journal Entries'!$K:$K,$C49,'Journal Entries'!$C:$C,"&lt;="&amp;S$8,'Journal Entries'!$C:$C,"&gt;"&amp;R$8)</f>
        <v>0</v>
      </c>
      <c r="T49" s="43">
        <f>SUMIFS('Journal Entries'!$L:$L,'Journal Entries'!$K:$K,$C49,'Journal Entries'!$C:$C,"&lt;="&amp;T$8,'Journal Entries'!$C:$C,"&gt;"&amp;S$8)</f>
        <v>0</v>
      </c>
      <c r="U49" s="43">
        <f>SUMIFS('Journal Entries'!$L:$L,'Journal Entries'!$K:$K,$C49,'Journal Entries'!$C:$C,"&lt;="&amp;U$8,'Journal Entries'!$C:$C,"&gt;"&amp;T$8)</f>
        <v>0</v>
      </c>
      <c r="V49" s="43">
        <f>SUMIFS('Journal Entries'!$L:$L,'Journal Entries'!$K:$K,$C49,'Journal Entries'!$C:$C,"&lt;="&amp;V$8,'Journal Entries'!$C:$C,"&gt;"&amp;U$8)</f>
        <v>0</v>
      </c>
      <c r="W49" s="43">
        <f>SUMIFS('Journal Entries'!$L:$L,'Journal Entries'!$K:$K,$C49,'Journal Entries'!$C:$C,"&lt;="&amp;W$8,'Journal Entries'!$C:$C,"&gt;"&amp;V$8)</f>
        <v>0</v>
      </c>
      <c r="X49" s="43">
        <f>SUMIFS('Journal Entries'!$L:$L,'Journal Entries'!$K:$K,$C49,'Journal Entries'!$C:$C,"&lt;="&amp;X$8,'Journal Entries'!$C:$C,"&gt;"&amp;W$8)</f>
        <v>0</v>
      </c>
      <c r="Y49" s="43">
        <f>SUMIFS('Journal Entries'!$L:$L,'Journal Entries'!$K:$K,$C49,'Journal Entries'!$C:$C,"&lt;="&amp;Y$8,'Journal Entries'!$C:$C,"&gt;"&amp;X$8)</f>
        <v>0</v>
      </c>
      <c r="Z49" s="43">
        <f>SUMIFS('Journal Entries'!$L:$L,'Journal Entries'!$K:$K,$C49,'Journal Entries'!$C:$C,"&lt;="&amp;Z$8,'Journal Entries'!$C:$C,"&gt;"&amp;Y$8)</f>
        <v>0</v>
      </c>
      <c r="AA49" s="43">
        <f>SUMIFS('Journal Entries'!$L:$L,'Journal Entries'!$K:$K,$C49,'Journal Entries'!$C:$C,"&lt;="&amp;AA$8,'Journal Entries'!$C:$C,"&gt;"&amp;Z$8)</f>
        <v>0</v>
      </c>
      <c r="AB49" s="43">
        <f>SUMIFS('Journal Entries'!$L:$L,'Journal Entries'!$K:$K,$C49,'Journal Entries'!$C:$C,"&lt;="&amp;AB$8,'Journal Entries'!$C:$C,"&gt;"&amp;AA$8)</f>
        <v>0</v>
      </c>
      <c r="AC49" s="43">
        <f>SUMIFS('Journal Entries'!$L:$L,'Journal Entries'!$K:$K,$C49,'Journal Entries'!$C:$C,"&lt;="&amp;AC$8,'Journal Entries'!$C:$C,"&gt;"&amp;AB$8)</f>
        <v>0</v>
      </c>
      <c r="AD49" s="43">
        <f>SUMIFS('Journal Entries'!$L:$L,'Journal Entries'!$K:$K,$C49,'Journal Entries'!$C:$C,"&lt;="&amp;AD$8,'Journal Entries'!$C:$C,"&gt;"&amp;AC$8)</f>
        <v>0</v>
      </c>
      <c r="AE49" s="43">
        <f>SUMIFS('Journal Entries'!$L:$L,'Journal Entries'!$K:$K,$C49,'Journal Entries'!$C:$C,"&lt;="&amp;AE$8,'Journal Entries'!$C:$C,"&gt;"&amp;AD$8)</f>
        <v>0</v>
      </c>
      <c r="AF49" s="43">
        <f>SUMIFS('Journal Entries'!$L:$L,'Journal Entries'!$K:$K,$C49,'Journal Entries'!$C:$C,"&lt;="&amp;AF$8,'Journal Entries'!$C:$C,"&gt;"&amp;AE$8)</f>
        <v>0</v>
      </c>
      <c r="AG49" s="43">
        <f>SUMIFS('Journal Entries'!$L:$L,'Journal Entries'!$K:$K,$C49,'Journal Entries'!$C:$C,"&lt;="&amp;AG$8,'Journal Entries'!$C:$C,"&gt;"&amp;AF$8)</f>
        <v>0</v>
      </c>
      <c r="AH49" s="43">
        <f>SUMIFS('Journal Entries'!$L:$L,'Journal Entries'!$K:$K,$C49,'Journal Entries'!$C:$C,"&lt;="&amp;AH$8,'Journal Entries'!$C:$C,"&gt;"&amp;AG$8)</f>
        <v>0</v>
      </c>
      <c r="AI49" s="43">
        <f>SUMIFS('Journal Entries'!$L:$L,'Journal Entries'!$K:$K,$C49,'Journal Entries'!$C:$C,"&lt;="&amp;AI$8,'Journal Entries'!$C:$C,"&gt;"&amp;AH$8)</f>
        <v>0</v>
      </c>
      <c r="AJ49" s="43">
        <f>SUMIFS('Journal Entries'!$L:$L,'Journal Entries'!$K:$K,$C49,'Journal Entries'!$C:$C,"&lt;="&amp;AJ$8,'Journal Entries'!$C:$C,"&gt;"&amp;AI$8)</f>
        <v>0</v>
      </c>
      <c r="AK49" s="43">
        <f>SUMIFS('Journal Entries'!$L:$L,'Journal Entries'!$K:$K,$C49,'Journal Entries'!$C:$C,"&lt;="&amp;AK$8,'Journal Entries'!$C:$C,"&gt;"&amp;AJ$8)</f>
        <v>0</v>
      </c>
      <c r="AL49" s="43">
        <f>SUMIFS('Journal Entries'!$L:$L,'Journal Entries'!$K:$K,$C49,'Journal Entries'!$C:$C,"&lt;="&amp;AL$8,'Journal Entries'!$C:$C,"&gt;"&amp;AK$8)</f>
        <v>0</v>
      </c>
      <c r="AM49" s="43">
        <f>SUMIFS('Journal Entries'!$L:$L,'Journal Entries'!$K:$K,$C49,'Journal Entries'!$C:$C,"&lt;="&amp;AM$8,'Journal Entries'!$C:$C,"&gt;"&amp;AL$8)</f>
        <v>0</v>
      </c>
      <c r="AN49" s="43">
        <f>SUMIFS('Journal Entries'!$L:$L,'Journal Entries'!$K:$K,$C49,'Journal Entries'!$C:$C,"&lt;="&amp;AN$8,'Journal Entries'!$C:$C,"&gt;"&amp;AM$8)</f>
        <v>0</v>
      </c>
      <c r="AO49" s="43">
        <f>SUMIFS('Journal Entries'!$L:$L,'Journal Entries'!$K:$K,$C49,'Journal Entries'!$C:$C,"&lt;="&amp;AO$8,'Journal Entries'!$C:$C,"&gt;"&amp;AN$8)</f>
        <v>0</v>
      </c>
      <c r="AP49" s="43">
        <f>SUMIFS('Journal Entries'!$L:$L,'Journal Entries'!$K:$K,$C49,'Journal Entries'!$C:$C,"&lt;="&amp;AP$8,'Journal Entries'!$C:$C,"&gt;"&amp;AO$8)</f>
        <v>0</v>
      </c>
      <c r="AQ49" s="43">
        <f>SUMIFS('Journal Entries'!$L:$L,'Journal Entries'!$K:$K,$C49,'Journal Entries'!$C:$C,"&lt;="&amp;AQ$8,'Journal Entries'!$C:$C,"&gt;"&amp;AP$8)</f>
        <v>0</v>
      </c>
      <c r="AR49" s="43">
        <f>SUMIFS('Journal Entries'!$L:$L,'Journal Entries'!$K:$K,$C49,'Journal Entries'!$C:$C,"&lt;="&amp;AR$8,'Journal Entries'!$C:$C,"&gt;"&amp;AQ$8)</f>
        <v>0</v>
      </c>
      <c r="AS49" s="43">
        <f>SUMIFS('Journal Entries'!$L:$L,'Journal Entries'!$K:$K,$C49,'Journal Entries'!$C:$C,"&lt;="&amp;AS$8,'Journal Entries'!$C:$C,"&gt;"&amp;AR$8)</f>
        <v>0</v>
      </c>
      <c r="AT49" s="43">
        <f>SUMIFS('Journal Entries'!$L:$L,'Journal Entries'!$K:$K,$C49,'Journal Entries'!$C:$C,"&lt;="&amp;AT$8,'Journal Entries'!$C:$C,"&gt;"&amp;AS$8)</f>
        <v>0</v>
      </c>
      <c r="AU49" s="43">
        <f>SUMIFS('Journal Entries'!$L:$L,'Journal Entries'!$K:$K,$C49,'Journal Entries'!$C:$C,"&lt;="&amp;AU$8,'Journal Entries'!$C:$C,"&gt;"&amp;AT$8)</f>
        <v>0</v>
      </c>
      <c r="AV49" s="43">
        <f>SUMIFS('Journal Entries'!$L:$L,'Journal Entries'!$K:$K,$C49,'Journal Entries'!$C:$C,"&lt;="&amp;AV$8,'Journal Entries'!$C:$C,"&gt;"&amp;AU$8)</f>
        <v>0</v>
      </c>
      <c r="AW49" s="43">
        <f>SUMIFS('Journal Entries'!$L:$L,'Journal Entries'!$K:$K,$C49,'Journal Entries'!$C:$C,"&lt;="&amp;AW$8,'Journal Entries'!$C:$C,"&gt;"&amp;AV$8)</f>
        <v>0</v>
      </c>
      <c r="AX49" s="43">
        <f>SUMIFS('Journal Entries'!$L:$L,'Journal Entries'!$K:$K,$C49,'Journal Entries'!$C:$C,"&lt;="&amp;AX$8,'Journal Entries'!$C:$C,"&gt;"&amp;AW$8)</f>
        <v>0</v>
      </c>
      <c r="AY49" s="43">
        <f>SUMIFS('Journal Entries'!$L:$L,'Journal Entries'!$K:$K,$C49,'Journal Entries'!$C:$C,"&lt;="&amp;AY$8,'Journal Entries'!$C:$C,"&gt;"&amp;AX$8)</f>
        <v>0</v>
      </c>
      <c r="AZ49" s="43">
        <f>SUMIFS('Journal Entries'!$L:$L,'Journal Entries'!$K:$K,$C49,'Journal Entries'!$C:$C,"&lt;="&amp;AZ$8,'Journal Entries'!$C:$C,"&gt;"&amp;AY$8)</f>
        <v>0</v>
      </c>
      <c r="BA49" s="43">
        <f>SUMIFS('Journal Entries'!$L:$L,'Journal Entries'!$K:$K,$C49,'Journal Entries'!$C:$C,"&lt;="&amp;BA$8,'Journal Entries'!$C:$C,"&gt;"&amp;AZ$8)</f>
        <v>0</v>
      </c>
      <c r="BB49" s="43">
        <f>SUMIFS('Journal Entries'!$L:$L,'Journal Entries'!$K:$K,$C49,'Journal Entries'!$C:$C,"&lt;="&amp;BB$8,'Journal Entries'!$C:$C,"&gt;"&amp;BA$8)</f>
        <v>0</v>
      </c>
      <c r="BC49" s="43">
        <f>SUMIFS('Journal Entries'!$L:$L,'Journal Entries'!$K:$K,$C49,'Journal Entries'!$C:$C,"&lt;="&amp;BC$8,'Journal Entries'!$C:$C,"&gt;"&amp;BB$8)</f>
        <v>0</v>
      </c>
      <c r="BD49" s="43">
        <f>SUMIFS('Journal Entries'!$L:$L,'Journal Entries'!$K:$K,$C49,'Journal Entries'!$C:$C,"&lt;="&amp;BD$8,'Journal Entries'!$C:$C,"&gt;"&amp;BC$8)</f>
        <v>0</v>
      </c>
      <c r="BE49" s="43">
        <f>SUMIFS('Journal Entries'!$L:$L,'Journal Entries'!$K:$K,$C49,'Journal Entries'!$C:$C,"&lt;="&amp;BE$8,'Journal Entries'!$C:$C,"&gt;"&amp;BD$8)</f>
        <v>0</v>
      </c>
      <c r="BF49" s="43">
        <f>SUMIFS('Journal Entries'!$L:$L,'Journal Entries'!$K:$K,$C49,'Journal Entries'!$C:$C,"&lt;="&amp;BF$8,'Journal Entries'!$C:$C,"&gt;"&amp;BE$8)</f>
        <v>0</v>
      </c>
      <c r="BG49" s="43">
        <f>SUMIFS('Journal Entries'!$L:$L,'Journal Entries'!$K:$K,$C49,'Journal Entries'!$C:$C,"&lt;="&amp;BG$8,'Journal Entries'!$C:$C,"&gt;"&amp;BF$8)</f>
        <v>0</v>
      </c>
      <c r="BH49" s="43">
        <f>SUMIFS('Journal Entries'!$L:$L,'Journal Entries'!$K:$K,$C49,'Journal Entries'!$C:$C,"&lt;="&amp;BH$8,'Journal Entries'!$C:$C,"&gt;"&amp;BG$8)</f>
        <v>0</v>
      </c>
      <c r="BI49" s="43">
        <f>SUMIFS('Journal Entries'!$L:$L,'Journal Entries'!$K:$K,$C49,'Journal Entries'!$C:$C,"&lt;="&amp;BI$8,'Journal Entries'!$C:$C,"&gt;"&amp;BH$8)</f>
        <v>0</v>
      </c>
      <c r="BJ49" s="43">
        <f>SUMIFS('Journal Entries'!$L:$L,'Journal Entries'!$K:$K,$C49,'Journal Entries'!$C:$C,"&lt;="&amp;BJ$8,'Journal Entries'!$C:$C,"&gt;"&amp;BI$8)</f>
        <v>0</v>
      </c>
      <c r="BK49" s="43">
        <f>SUMIFS('Journal Entries'!$L:$L,'Journal Entries'!$K:$K,$C49,'Journal Entries'!$C:$C,"&lt;="&amp;BK$8,'Journal Entries'!$C:$C,"&gt;"&amp;BJ$8)</f>
        <v>0</v>
      </c>
      <c r="BL49" s="43">
        <f>SUMIFS('Journal Entries'!$L:$L,'Journal Entries'!$K:$K,$C49,'Journal Entries'!$C:$C,"&lt;="&amp;BL$8,'Journal Entries'!$C:$C,"&gt;"&amp;BK$8)</f>
        <v>0</v>
      </c>
    </row>
    <row r="50" spans="2:64" x14ac:dyDescent="0.25">
      <c r="B50" s="10">
        <v>4020</v>
      </c>
      <c r="C50" s="10" t="str">
        <f>VLOOKUP(B50,'Chart of Accounts'!$B$3:$C$95,2,0)</f>
        <v>Other income</v>
      </c>
      <c r="D50" s="525">
        <f t="shared" si="2"/>
        <v>0</v>
      </c>
      <c r="E50" s="43">
        <f>SUMIFS('Journal Entries'!$L:$L,'Journal Entries'!$K:$K,$C50,'Journal Entries'!$C:$C,"&lt;="&amp;E$8,'Journal Entries'!$C:$C,"&gt;"&amp;D$8)</f>
        <v>0</v>
      </c>
      <c r="F50" s="43">
        <f>SUMIFS('Journal Entries'!$L:$L,'Journal Entries'!$K:$K,$C50,'Journal Entries'!$C:$C,"&lt;="&amp;F$8,'Journal Entries'!$C:$C,"&gt;"&amp;E$8)</f>
        <v>0</v>
      </c>
      <c r="G50" s="43">
        <f>SUMIFS('Journal Entries'!$L:$L,'Journal Entries'!$K:$K,$C50,'Journal Entries'!$C:$C,"&lt;="&amp;G$8,'Journal Entries'!$C:$C,"&gt;"&amp;F$8)</f>
        <v>0</v>
      </c>
      <c r="H50" s="43">
        <f>SUMIFS('Journal Entries'!$L:$L,'Journal Entries'!$K:$K,$C50,'Journal Entries'!$C:$C,"&lt;="&amp;H$8,'Journal Entries'!$C:$C,"&gt;"&amp;G$8)</f>
        <v>0</v>
      </c>
      <c r="I50" s="43">
        <f>SUMIFS('Journal Entries'!$L:$L,'Journal Entries'!$K:$K,$C50,'Journal Entries'!$C:$C,"&lt;="&amp;I$8,'Journal Entries'!$C:$C,"&gt;"&amp;H$8)</f>
        <v>0</v>
      </c>
      <c r="J50" s="43">
        <f>SUMIFS('Journal Entries'!$L:$L,'Journal Entries'!$K:$K,$C50,'Journal Entries'!$C:$C,"&lt;="&amp;J$8,'Journal Entries'!$C:$C,"&gt;"&amp;I$8)</f>
        <v>0</v>
      </c>
      <c r="K50" s="43">
        <f>SUMIFS('Journal Entries'!$L:$L,'Journal Entries'!$K:$K,$C50,'Journal Entries'!$C:$C,"&lt;="&amp;K$8,'Journal Entries'!$C:$C,"&gt;"&amp;J$8)</f>
        <v>0</v>
      </c>
      <c r="L50" s="43">
        <f>SUMIFS('Journal Entries'!$L:$L,'Journal Entries'!$K:$K,$C50,'Journal Entries'!$C:$C,"&lt;="&amp;L$8,'Journal Entries'!$C:$C,"&gt;"&amp;K$8)</f>
        <v>0</v>
      </c>
      <c r="M50" s="43">
        <f>SUMIFS('Journal Entries'!$L:$L,'Journal Entries'!$K:$K,$C50,'Journal Entries'!$C:$C,"&lt;="&amp;M$8,'Journal Entries'!$C:$C,"&gt;"&amp;L$8)</f>
        <v>0</v>
      </c>
      <c r="N50" s="43">
        <f>SUMIFS('Journal Entries'!$L:$L,'Journal Entries'!$K:$K,$C50,'Journal Entries'!$C:$C,"&lt;="&amp;N$8,'Journal Entries'!$C:$C,"&gt;"&amp;M$8)</f>
        <v>0</v>
      </c>
      <c r="O50" s="43">
        <f>SUMIFS('Journal Entries'!$L:$L,'Journal Entries'!$K:$K,$C50,'Journal Entries'!$C:$C,"&lt;="&amp;O$8,'Journal Entries'!$C:$C,"&gt;"&amp;N$8)</f>
        <v>0</v>
      </c>
      <c r="P50" s="43">
        <f>SUMIFS('Journal Entries'!$L:$L,'Journal Entries'!$K:$K,$C50,'Journal Entries'!$C:$C,"&lt;="&amp;P$8,'Journal Entries'!$C:$C,"&gt;"&amp;O$8)</f>
        <v>0</v>
      </c>
      <c r="Q50" s="43">
        <f>SUMIFS('Journal Entries'!$L:$L,'Journal Entries'!$K:$K,$C50,'Journal Entries'!$C:$C,"&lt;="&amp;Q$8,'Journal Entries'!$C:$C,"&gt;"&amp;P$8)</f>
        <v>0</v>
      </c>
      <c r="R50" s="43">
        <f>SUMIFS('Journal Entries'!$L:$L,'Journal Entries'!$K:$K,$C50,'Journal Entries'!$C:$C,"&lt;="&amp;R$8,'Journal Entries'!$C:$C,"&gt;"&amp;Q$8)</f>
        <v>0</v>
      </c>
      <c r="S50" s="43">
        <f>SUMIFS('Journal Entries'!$L:$L,'Journal Entries'!$K:$K,$C50,'Journal Entries'!$C:$C,"&lt;="&amp;S$8,'Journal Entries'!$C:$C,"&gt;"&amp;R$8)</f>
        <v>0</v>
      </c>
      <c r="T50" s="43">
        <f>SUMIFS('Journal Entries'!$L:$L,'Journal Entries'!$K:$K,$C50,'Journal Entries'!$C:$C,"&lt;="&amp;T$8,'Journal Entries'!$C:$C,"&gt;"&amp;S$8)</f>
        <v>0</v>
      </c>
      <c r="U50" s="43">
        <f>SUMIFS('Journal Entries'!$L:$L,'Journal Entries'!$K:$K,$C50,'Journal Entries'!$C:$C,"&lt;="&amp;U$8,'Journal Entries'!$C:$C,"&gt;"&amp;T$8)</f>
        <v>0</v>
      </c>
      <c r="V50" s="43">
        <f>SUMIFS('Journal Entries'!$L:$L,'Journal Entries'!$K:$K,$C50,'Journal Entries'!$C:$C,"&lt;="&amp;V$8,'Journal Entries'!$C:$C,"&gt;"&amp;U$8)</f>
        <v>0</v>
      </c>
      <c r="W50" s="43">
        <f>SUMIFS('Journal Entries'!$L:$L,'Journal Entries'!$K:$K,$C50,'Journal Entries'!$C:$C,"&lt;="&amp;W$8,'Journal Entries'!$C:$C,"&gt;"&amp;V$8)</f>
        <v>0</v>
      </c>
      <c r="X50" s="43">
        <f>SUMIFS('Journal Entries'!$L:$L,'Journal Entries'!$K:$K,$C50,'Journal Entries'!$C:$C,"&lt;="&amp;X$8,'Journal Entries'!$C:$C,"&gt;"&amp;W$8)</f>
        <v>0</v>
      </c>
      <c r="Y50" s="43">
        <f>SUMIFS('Journal Entries'!$L:$L,'Journal Entries'!$K:$K,$C50,'Journal Entries'!$C:$C,"&lt;="&amp;Y$8,'Journal Entries'!$C:$C,"&gt;"&amp;X$8)</f>
        <v>0</v>
      </c>
      <c r="Z50" s="43">
        <f>SUMIFS('Journal Entries'!$L:$L,'Journal Entries'!$K:$K,$C50,'Journal Entries'!$C:$C,"&lt;="&amp;Z$8,'Journal Entries'!$C:$C,"&gt;"&amp;Y$8)</f>
        <v>0</v>
      </c>
      <c r="AA50" s="43">
        <f>SUMIFS('Journal Entries'!$L:$L,'Journal Entries'!$K:$K,$C50,'Journal Entries'!$C:$C,"&lt;="&amp;AA$8,'Journal Entries'!$C:$C,"&gt;"&amp;Z$8)</f>
        <v>0</v>
      </c>
      <c r="AB50" s="43">
        <f>SUMIFS('Journal Entries'!$L:$L,'Journal Entries'!$K:$K,$C50,'Journal Entries'!$C:$C,"&lt;="&amp;AB$8,'Journal Entries'!$C:$C,"&gt;"&amp;AA$8)</f>
        <v>0</v>
      </c>
      <c r="AC50" s="43">
        <f>SUMIFS('Journal Entries'!$L:$L,'Journal Entries'!$K:$K,$C50,'Journal Entries'!$C:$C,"&lt;="&amp;AC$8,'Journal Entries'!$C:$C,"&gt;"&amp;AB$8)</f>
        <v>0</v>
      </c>
      <c r="AD50" s="43">
        <f>SUMIFS('Journal Entries'!$L:$L,'Journal Entries'!$K:$K,$C50,'Journal Entries'!$C:$C,"&lt;="&amp;AD$8,'Journal Entries'!$C:$C,"&gt;"&amp;AC$8)</f>
        <v>0</v>
      </c>
      <c r="AE50" s="43">
        <f>SUMIFS('Journal Entries'!$L:$L,'Journal Entries'!$K:$K,$C50,'Journal Entries'!$C:$C,"&lt;="&amp;AE$8,'Journal Entries'!$C:$C,"&gt;"&amp;AD$8)</f>
        <v>0</v>
      </c>
      <c r="AF50" s="43">
        <f>SUMIFS('Journal Entries'!$L:$L,'Journal Entries'!$K:$K,$C50,'Journal Entries'!$C:$C,"&lt;="&amp;AF$8,'Journal Entries'!$C:$C,"&gt;"&amp;AE$8)</f>
        <v>0</v>
      </c>
      <c r="AG50" s="43">
        <f>SUMIFS('Journal Entries'!$L:$L,'Journal Entries'!$K:$K,$C50,'Journal Entries'!$C:$C,"&lt;="&amp;AG$8,'Journal Entries'!$C:$C,"&gt;"&amp;AF$8)</f>
        <v>0</v>
      </c>
      <c r="AH50" s="43">
        <f>SUMIFS('Journal Entries'!$L:$L,'Journal Entries'!$K:$K,$C50,'Journal Entries'!$C:$C,"&lt;="&amp;AH$8,'Journal Entries'!$C:$C,"&gt;"&amp;AG$8)</f>
        <v>0</v>
      </c>
      <c r="AI50" s="43">
        <f>SUMIFS('Journal Entries'!$L:$L,'Journal Entries'!$K:$K,$C50,'Journal Entries'!$C:$C,"&lt;="&amp;AI$8,'Journal Entries'!$C:$C,"&gt;"&amp;AH$8)</f>
        <v>0</v>
      </c>
      <c r="AJ50" s="43">
        <f>SUMIFS('Journal Entries'!$L:$L,'Journal Entries'!$K:$K,$C50,'Journal Entries'!$C:$C,"&lt;="&amp;AJ$8,'Journal Entries'!$C:$C,"&gt;"&amp;AI$8)</f>
        <v>0</v>
      </c>
      <c r="AK50" s="43">
        <f>SUMIFS('Journal Entries'!$L:$L,'Journal Entries'!$K:$K,$C50,'Journal Entries'!$C:$C,"&lt;="&amp;AK$8,'Journal Entries'!$C:$C,"&gt;"&amp;AJ$8)</f>
        <v>0</v>
      </c>
      <c r="AL50" s="43">
        <f>SUMIFS('Journal Entries'!$L:$L,'Journal Entries'!$K:$K,$C50,'Journal Entries'!$C:$C,"&lt;="&amp;AL$8,'Journal Entries'!$C:$C,"&gt;"&amp;AK$8)</f>
        <v>0</v>
      </c>
      <c r="AM50" s="43">
        <f>SUMIFS('Journal Entries'!$L:$L,'Journal Entries'!$K:$K,$C50,'Journal Entries'!$C:$C,"&lt;="&amp;AM$8,'Journal Entries'!$C:$C,"&gt;"&amp;AL$8)</f>
        <v>0</v>
      </c>
      <c r="AN50" s="43">
        <f>SUMIFS('Journal Entries'!$L:$L,'Journal Entries'!$K:$K,$C50,'Journal Entries'!$C:$C,"&lt;="&amp;AN$8,'Journal Entries'!$C:$C,"&gt;"&amp;AM$8)</f>
        <v>0</v>
      </c>
      <c r="AO50" s="43">
        <f>SUMIFS('Journal Entries'!$L:$L,'Journal Entries'!$K:$K,$C50,'Journal Entries'!$C:$C,"&lt;="&amp;AO$8,'Journal Entries'!$C:$C,"&gt;"&amp;AN$8)</f>
        <v>0</v>
      </c>
      <c r="AP50" s="43">
        <f>SUMIFS('Journal Entries'!$L:$L,'Journal Entries'!$K:$K,$C50,'Journal Entries'!$C:$C,"&lt;="&amp;AP$8,'Journal Entries'!$C:$C,"&gt;"&amp;AO$8)</f>
        <v>0</v>
      </c>
      <c r="AQ50" s="43">
        <f>SUMIFS('Journal Entries'!$L:$L,'Journal Entries'!$K:$K,$C50,'Journal Entries'!$C:$C,"&lt;="&amp;AQ$8,'Journal Entries'!$C:$C,"&gt;"&amp;AP$8)</f>
        <v>0</v>
      </c>
      <c r="AR50" s="43">
        <f>SUMIFS('Journal Entries'!$L:$L,'Journal Entries'!$K:$K,$C50,'Journal Entries'!$C:$C,"&lt;="&amp;AR$8,'Journal Entries'!$C:$C,"&gt;"&amp;AQ$8)</f>
        <v>0</v>
      </c>
      <c r="AS50" s="43">
        <f>SUMIFS('Journal Entries'!$L:$L,'Journal Entries'!$K:$K,$C50,'Journal Entries'!$C:$C,"&lt;="&amp;AS$8,'Journal Entries'!$C:$C,"&gt;"&amp;AR$8)</f>
        <v>0</v>
      </c>
      <c r="AT50" s="43">
        <f>SUMIFS('Journal Entries'!$L:$L,'Journal Entries'!$K:$K,$C50,'Journal Entries'!$C:$C,"&lt;="&amp;AT$8,'Journal Entries'!$C:$C,"&gt;"&amp;AS$8)</f>
        <v>0</v>
      </c>
      <c r="AU50" s="43">
        <f>SUMIFS('Journal Entries'!$L:$L,'Journal Entries'!$K:$K,$C50,'Journal Entries'!$C:$C,"&lt;="&amp;AU$8,'Journal Entries'!$C:$C,"&gt;"&amp;AT$8)</f>
        <v>0</v>
      </c>
      <c r="AV50" s="43">
        <f>SUMIFS('Journal Entries'!$L:$L,'Journal Entries'!$K:$K,$C50,'Journal Entries'!$C:$C,"&lt;="&amp;AV$8,'Journal Entries'!$C:$C,"&gt;"&amp;AU$8)</f>
        <v>0</v>
      </c>
      <c r="AW50" s="43">
        <f>SUMIFS('Journal Entries'!$L:$L,'Journal Entries'!$K:$K,$C50,'Journal Entries'!$C:$C,"&lt;="&amp;AW$8,'Journal Entries'!$C:$C,"&gt;"&amp;AV$8)</f>
        <v>0</v>
      </c>
      <c r="AX50" s="43">
        <f>SUMIFS('Journal Entries'!$L:$L,'Journal Entries'!$K:$K,$C50,'Journal Entries'!$C:$C,"&lt;="&amp;AX$8,'Journal Entries'!$C:$C,"&gt;"&amp;AW$8)</f>
        <v>0</v>
      </c>
      <c r="AY50" s="43">
        <f>SUMIFS('Journal Entries'!$L:$L,'Journal Entries'!$K:$K,$C50,'Journal Entries'!$C:$C,"&lt;="&amp;AY$8,'Journal Entries'!$C:$C,"&gt;"&amp;AX$8)</f>
        <v>0</v>
      </c>
      <c r="AZ50" s="43">
        <f>SUMIFS('Journal Entries'!$L:$L,'Journal Entries'!$K:$K,$C50,'Journal Entries'!$C:$C,"&lt;="&amp;AZ$8,'Journal Entries'!$C:$C,"&gt;"&amp;AY$8)</f>
        <v>0</v>
      </c>
      <c r="BA50" s="43">
        <f>SUMIFS('Journal Entries'!$L:$L,'Journal Entries'!$K:$K,$C50,'Journal Entries'!$C:$C,"&lt;="&amp;BA$8,'Journal Entries'!$C:$C,"&gt;"&amp;AZ$8)</f>
        <v>0</v>
      </c>
      <c r="BB50" s="43">
        <f>SUMIFS('Journal Entries'!$L:$L,'Journal Entries'!$K:$K,$C50,'Journal Entries'!$C:$C,"&lt;="&amp;BB$8,'Journal Entries'!$C:$C,"&gt;"&amp;BA$8)</f>
        <v>0</v>
      </c>
      <c r="BC50" s="43">
        <f>SUMIFS('Journal Entries'!$L:$L,'Journal Entries'!$K:$K,$C50,'Journal Entries'!$C:$C,"&lt;="&amp;BC$8,'Journal Entries'!$C:$C,"&gt;"&amp;BB$8)</f>
        <v>0</v>
      </c>
      <c r="BD50" s="43">
        <f>SUMIFS('Journal Entries'!$L:$L,'Journal Entries'!$K:$K,$C50,'Journal Entries'!$C:$C,"&lt;="&amp;BD$8,'Journal Entries'!$C:$C,"&gt;"&amp;BC$8)</f>
        <v>0</v>
      </c>
      <c r="BE50" s="43">
        <f>SUMIFS('Journal Entries'!$L:$L,'Journal Entries'!$K:$K,$C50,'Journal Entries'!$C:$C,"&lt;="&amp;BE$8,'Journal Entries'!$C:$C,"&gt;"&amp;BD$8)</f>
        <v>0</v>
      </c>
      <c r="BF50" s="43">
        <f>SUMIFS('Journal Entries'!$L:$L,'Journal Entries'!$K:$K,$C50,'Journal Entries'!$C:$C,"&lt;="&amp;BF$8,'Journal Entries'!$C:$C,"&gt;"&amp;BE$8)</f>
        <v>0</v>
      </c>
      <c r="BG50" s="43">
        <f>SUMIFS('Journal Entries'!$L:$L,'Journal Entries'!$K:$K,$C50,'Journal Entries'!$C:$C,"&lt;="&amp;BG$8,'Journal Entries'!$C:$C,"&gt;"&amp;BF$8)</f>
        <v>0</v>
      </c>
      <c r="BH50" s="43">
        <f>SUMIFS('Journal Entries'!$L:$L,'Journal Entries'!$K:$K,$C50,'Journal Entries'!$C:$C,"&lt;="&amp;BH$8,'Journal Entries'!$C:$C,"&gt;"&amp;BG$8)</f>
        <v>0</v>
      </c>
      <c r="BI50" s="43">
        <f>SUMIFS('Journal Entries'!$L:$L,'Journal Entries'!$K:$K,$C50,'Journal Entries'!$C:$C,"&lt;="&amp;BI$8,'Journal Entries'!$C:$C,"&gt;"&amp;BH$8)</f>
        <v>0</v>
      </c>
      <c r="BJ50" s="43">
        <f>SUMIFS('Journal Entries'!$L:$L,'Journal Entries'!$K:$K,$C50,'Journal Entries'!$C:$C,"&lt;="&amp;BJ$8,'Journal Entries'!$C:$C,"&gt;"&amp;BI$8)</f>
        <v>0</v>
      </c>
      <c r="BK50" s="43">
        <f>SUMIFS('Journal Entries'!$L:$L,'Journal Entries'!$K:$K,$C50,'Journal Entries'!$C:$C,"&lt;="&amp;BK$8,'Journal Entries'!$C:$C,"&gt;"&amp;BJ$8)</f>
        <v>0</v>
      </c>
      <c r="BL50" s="43">
        <f>SUMIFS('Journal Entries'!$L:$L,'Journal Entries'!$K:$K,$C50,'Journal Entries'!$C:$C,"&lt;="&amp;BL$8,'Journal Entries'!$C:$C,"&gt;"&amp;BK$8)</f>
        <v>0</v>
      </c>
    </row>
    <row r="51" spans="2:64" x14ac:dyDescent="0.25">
      <c r="B51" s="10">
        <v>4030</v>
      </c>
      <c r="C51" s="10" t="str">
        <f>VLOOKUP(B51,'Chart of Accounts'!$B$3:$C$95,2,0)</f>
        <v>Fee income</v>
      </c>
      <c r="D51" s="525">
        <f t="shared" si="2"/>
        <v>0</v>
      </c>
      <c r="E51" s="43">
        <f>SUMIFS('Journal Entries'!$L:$L,'Journal Entries'!$K:$K,$C51,'Journal Entries'!$C:$C,"&lt;="&amp;E$8,'Journal Entries'!$C:$C,"&gt;"&amp;D$8)</f>
        <v>0</v>
      </c>
      <c r="F51" s="43">
        <f>SUMIFS('Journal Entries'!$L:$L,'Journal Entries'!$K:$K,$C51,'Journal Entries'!$C:$C,"&lt;="&amp;F$8,'Journal Entries'!$C:$C,"&gt;"&amp;E$8)</f>
        <v>0</v>
      </c>
      <c r="G51" s="43">
        <f>SUMIFS('Journal Entries'!$L:$L,'Journal Entries'!$K:$K,$C51,'Journal Entries'!$C:$C,"&lt;="&amp;G$8,'Journal Entries'!$C:$C,"&gt;"&amp;F$8)</f>
        <v>0</v>
      </c>
      <c r="H51" s="43">
        <f>SUMIFS('Journal Entries'!$L:$L,'Journal Entries'!$K:$K,$C51,'Journal Entries'!$C:$C,"&lt;="&amp;H$8,'Journal Entries'!$C:$C,"&gt;"&amp;G$8)</f>
        <v>0</v>
      </c>
      <c r="I51" s="43">
        <f>SUMIFS('Journal Entries'!$L:$L,'Journal Entries'!$K:$K,$C51,'Journal Entries'!$C:$C,"&lt;="&amp;I$8,'Journal Entries'!$C:$C,"&gt;"&amp;H$8)</f>
        <v>0</v>
      </c>
      <c r="J51" s="43">
        <f>SUMIFS('Journal Entries'!$L:$L,'Journal Entries'!$K:$K,$C51,'Journal Entries'!$C:$C,"&lt;="&amp;J$8,'Journal Entries'!$C:$C,"&gt;"&amp;I$8)</f>
        <v>0</v>
      </c>
      <c r="K51" s="43">
        <f>SUMIFS('Journal Entries'!$L:$L,'Journal Entries'!$K:$K,$C51,'Journal Entries'!$C:$C,"&lt;="&amp;K$8,'Journal Entries'!$C:$C,"&gt;"&amp;J$8)</f>
        <v>0</v>
      </c>
      <c r="L51" s="43">
        <f>SUMIFS('Journal Entries'!$L:$L,'Journal Entries'!$K:$K,$C51,'Journal Entries'!$C:$C,"&lt;="&amp;L$8,'Journal Entries'!$C:$C,"&gt;"&amp;K$8)</f>
        <v>0</v>
      </c>
      <c r="M51" s="43">
        <f>SUMIFS('Journal Entries'!$L:$L,'Journal Entries'!$K:$K,$C51,'Journal Entries'!$C:$C,"&lt;="&amp;M$8,'Journal Entries'!$C:$C,"&gt;"&amp;L$8)</f>
        <v>0</v>
      </c>
      <c r="N51" s="43">
        <f>SUMIFS('Journal Entries'!$L:$L,'Journal Entries'!$K:$K,$C51,'Journal Entries'!$C:$C,"&lt;="&amp;N$8,'Journal Entries'!$C:$C,"&gt;"&amp;M$8)</f>
        <v>0</v>
      </c>
      <c r="O51" s="43">
        <f>SUMIFS('Journal Entries'!$L:$L,'Journal Entries'!$K:$K,$C51,'Journal Entries'!$C:$C,"&lt;="&amp;O$8,'Journal Entries'!$C:$C,"&gt;"&amp;N$8)</f>
        <v>0</v>
      </c>
      <c r="P51" s="43">
        <f>SUMIFS('Journal Entries'!$L:$L,'Journal Entries'!$K:$K,$C51,'Journal Entries'!$C:$C,"&lt;="&amp;P$8,'Journal Entries'!$C:$C,"&gt;"&amp;O$8)</f>
        <v>0</v>
      </c>
      <c r="Q51" s="43">
        <f>SUMIFS('Journal Entries'!$L:$L,'Journal Entries'!$K:$K,$C51,'Journal Entries'!$C:$C,"&lt;="&amp;Q$8,'Journal Entries'!$C:$C,"&gt;"&amp;P$8)</f>
        <v>0</v>
      </c>
      <c r="R51" s="43">
        <f>SUMIFS('Journal Entries'!$L:$L,'Journal Entries'!$K:$K,$C51,'Journal Entries'!$C:$C,"&lt;="&amp;R$8,'Journal Entries'!$C:$C,"&gt;"&amp;Q$8)</f>
        <v>0</v>
      </c>
      <c r="S51" s="43">
        <f>SUMIFS('Journal Entries'!$L:$L,'Journal Entries'!$K:$K,$C51,'Journal Entries'!$C:$C,"&lt;="&amp;S$8,'Journal Entries'!$C:$C,"&gt;"&amp;R$8)</f>
        <v>0</v>
      </c>
      <c r="T51" s="43">
        <f>SUMIFS('Journal Entries'!$L:$L,'Journal Entries'!$K:$K,$C51,'Journal Entries'!$C:$C,"&lt;="&amp;T$8,'Journal Entries'!$C:$C,"&gt;"&amp;S$8)</f>
        <v>0</v>
      </c>
      <c r="U51" s="43">
        <f>SUMIFS('Journal Entries'!$L:$L,'Journal Entries'!$K:$K,$C51,'Journal Entries'!$C:$C,"&lt;="&amp;U$8,'Journal Entries'!$C:$C,"&gt;"&amp;T$8)</f>
        <v>0</v>
      </c>
      <c r="V51" s="43">
        <f>SUMIFS('Journal Entries'!$L:$L,'Journal Entries'!$K:$K,$C51,'Journal Entries'!$C:$C,"&lt;="&amp;V$8,'Journal Entries'!$C:$C,"&gt;"&amp;U$8)</f>
        <v>0</v>
      </c>
      <c r="W51" s="43">
        <f>SUMIFS('Journal Entries'!$L:$L,'Journal Entries'!$K:$K,$C51,'Journal Entries'!$C:$C,"&lt;="&amp;W$8,'Journal Entries'!$C:$C,"&gt;"&amp;V$8)</f>
        <v>0</v>
      </c>
      <c r="X51" s="43">
        <f>SUMIFS('Journal Entries'!$L:$L,'Journal Entries'!$K:$K,$C51,'Journal Entries'!$C:$C,"&lt;="&amp;X$8,'Journal Entries'!$C:$C,"&gt;"&amp;W$8)</f>
        <v>0</v>
      </c>
      <c r="Y51" s="43">
        <f>SUMIFS('Journal Entries'!$L:$L,'Journal Entries'!$K:$K,$C51,'Journal Entries'!$C:$C,"&lt;="&amp;Y$8,'Journal Entries'!$C:$C,"&gt;"&amp;X$8)</f>
        <v>0</v>
      </c>
      <c r="Z51" s="43">
        <f>SUMIFS('Journal Entries'!$L:$L,'Journal Entries'!$K:$K,$C51,'Journal Entries'!$C:$C,"&lt;="&amp;Z$8,'Journal Entries'!$C:$C,"&gt;"&amp;Y$8)</f>
        <v>0</v>
      </c>
      <c r="AA51" s="43">
        <f>SUMIFS('Journal Entries'!$L:$L,'Journal Entries'!$K:$K,$C51,'Journal Entries'!$C:$C,"&lt;="&amp;AA$8,'Journal Entries'!$C:$C,"&gt;"&amp;Z$8)</f>
        <v>0</v>
      </c>
      <c r="AB51" s="43">
        <f>SUMIFS('Journal Entries'!$L:$L,'Journal Entries'!$K:$K,$C51,'Journal Entries'!$C:$C,"&lt;="&amp;AB$8,'Journal Entries'!$C:$C,"&gt;"&amp;AA$8)</f>
        <v>0</v>
      </c>
      <c r="AC51" s="43">
        <f>SUMIFS('Journal Entries'!$L:$L,'Journal Entries'!$K:$K,$C51,'Journal Entries'!$C:$C,"&lt;="&amp;AC$8,'Journal Entries'!$C:$C,"&gt;"&amp;AB$8)</f>
        <v>0</v>
      </c>
      <c r="AD51" s="43">
        <f>SUMIFS('Journal Entries'!$L:$L,'Journal Entries'!$K:$K,$C51,'Journal Entries'!$C:$C,"&lt;="&amp;AD$8,'Journal Entries'!$C:$C,"&gt;"&amp;AC$8)</f>
        <v>0</v>
      </c>
      <c r="AE51" s="43">
        <f>SUMIFS('Journal Entries'!$L:$L,'Journal Entries'!$K:$K,$C51,'Journal Entries'!$C:$C,"&lt;="&amp;AE$8,'Journal Entries'!$C:$C,"&gt;"&amp;AD$8)</f>
        <v>0</v>
      </c>
      <c r="AF51" s="43">
        <f>SUMIFS('Journal Entries'!$L:$L,'Journal Entries'!$K:$K,$C51,'Journal Entries'!$C:$C,"&lt;="&amp;AF$8,'Journal Entries'!$C:$C,"&gt;"&amp;AE$8)</f>
        <v>0</v>
      </c>
      <c r="AG51" s="43">
        <f>SUMIFS('Journal Entries'!$L:$L,'Journal Entries'!$K:$K,$C51,'Journal Entries'!$C:$C,"&lt;="&amp;AG$8,'Journal Entries'!$C:$C,"&gt;"&amp;AF$8)</f>
        <v>0</v>
      </c>
      <c r="AH51" s="43">
        <f>SUMIFS('Journal Entries'!$L:$L,'Journal Entries'!$K:$K,$C51,'Journal Entries'!$C:$C,"&lt;="&amp;AH$8,'Journal Entries'!$C:$C,"&gt;"&amp;AG$8)</f>
        <v>0</v>
      </c>
      <c r="AI51" s="43">
        <f>SUMIFS('Journal Entries'!$L:$L,'Journal Entries'!$K:$K,$C51,'Journal Entries'!$C:$C,"&lt;="&amp;AI$8,'Journal Entries'!$C:$C,"&gt;"&amp;AH$8)</f>
        <v>0</v>
      </c>
      <c r="AJ51" s="43">
        <f>SUMIFS('Journal Entries'!$L:$L,'Journal Entries'!$K:$K,$C51,'Journal Entries'!$C:$C,"&lt;="&amp;AJ$8,'Journal Entries'!$C:$C,"&gt;"&amp;AI$8)</f>
        <v>0</v>
      </c>
      <c r="AK51" s="43">
        <f>SUMIFS('Journal Entries'!$L:$L,'Journal Entries'!$K:$K,$C51,'Journal Entries'!$C:$C,"&lt;="&amp;AK$8,'Journal Entries'!$C:$C,"&gt;"&amp;AJ$8)</f>
        <v>0</v>
      </c>
      <c r="AL51" s="43">
        <f>SUMIFS('Journal Entries'!$L:$L,'Journal Entries'!$K:$K,$C51,'Journal Entries'!$C:$C,"&lt;="&amp;AL$8,'Journal Entries'!$C:$C,"&gt;"&amp;AK$8)</f>
        <v>0</v>
      </c>
      <c r="AM51" s="43">
        <f>SUMIFS('Journal Entries'!$L:$L,'Journal Entries'!$K:$K,$C51,'Journal Entries'!$C:$C,"&lt;="&amp;AM$8,'Journal Entries'!$C:$C,"&gt;"&amp;AL$8)</f>
        <v>0</v>
      </c>
      <c r="AN51" s="43">
        <f>SUMIFS('Journal Entries'!$L:$L,'Journal Entries'!$K:$K,$C51,'Journal Entries'!$C:$C,"&lt;="&amp;AN$8,'Journal Entries'!$C:$C,"&gt;"&amp;AM$8)</f>
        <v>0</v>
      </c>
      <c r="AO51" s="43">
        <f>SUMIFS('Journal Entries'!$L:$L,'Journal Entries'!$K:$K,$C51,'Journal Entries'!$C:$C,"&lt;="&amp;AO$8,'Journal Entries'!$C:$C,"&gt;"&amp;AN$8)</f>
        <v>0</v>
      </c>
      <c r="AP51" s="43">
        <f>SUMIFS('Journal Entries'!$L:$L,'Journal Entries'!$K:$K,$C51,'Journal Entries'!$C:$C,"&lt;="&amp;AP$8,'Journal Entries'!$C:$C,"&gt;"&amp;AO$8)</f>
        <v>0</v>
      </c>
      <c r="AQ51" s="43">
        <f>SUMIFS('Journal Entries'!$L:$L,'Journal Entries'!$K:$K,$C51,'Journal Entries'!$C:$C,"&lt;="&amp;AQ$8,'Journal Entries'!$C:$C,"&gt;"&amp;AP$8)</f>
        <v>0</v>
      </c>
      <c r="AR51" s="43">
        <f>SUMIFS('Journal Entries'!$L:$L,'Journal Entries'!$K:$K,$C51,'Journal Entries'!$C:$C,"&lt;="&amp;AR$8,'Journal Entries'!$C:$C,"&gt;"&amp;AQ$8)</f>
        <v>0</v>
      </c>
      <c r="AS51" s="43">
        <f>SUMIFS('Journal Entries'!$L:$L,'Journal Entries'!$K:$K,$C51,'Journal Entries'!$C:$C,"&lt;="&amp;AS$8,'Journal Entries'!$C:$C,"&gt;"&amp;AR$8)</f>
        <v>0</v>
      </c>
      <c r="AT51" s="43">
        <f>SUMIFS('Journal Entries'!$L:$L,'Journal Entries'!$K:$K,$C51,'Journal Entries'!$C:$C,"&lt;="&amp;AT$8,'Journal Entries'!$C:$C,"&gt;"&amp;AS$8)</f>
        <v>0</v>
      </c>
      <c r="AU51" s="43">
        <f>SUMIFS('Journal Entries'!$L:$L,'Journal Entries'!$K:$K,$C51,'Journal Entries'!$C:$C,"&lt;="&amp;AU$8,'Journal Entries'!$C:$C,"&gt;"&amp;AT$8)</f>
        <v>0</v>
      </c>
      <c r="AV51" s="43">
        <f>SUMIFS('Journal Entries'!$L:$L,'Journal Entries'!$K:$K,$C51,'Journal Entries'!$C:$C,"&lt;="&amp;AV$8,'Journal Entries'!$C:$C,"&gt;"&amp;AU$8)</f>
        <v>0</v>
      </c>
      <c r="AW51" s="43">
        <f>SUMIFS('Journal Entries'!$L:$L,'Journal Entries'!$K:$K,$C51,'Journal Entries'!$C:$C,"&lt;="&amp;AW$8,'Journal Entries'!$C:$C,"&gt;"&amp;AV$8)</f>
        <v>0</v>
      </c>
      <c r="AX51" s="43">
        <f>SUMIFS('Journal Entries'!$L:$L,'Journal Entries'!$K:$K,$C51,'Journal Entries'!$C:$C,"&lt;="&amp;AX$8,'Journal Entries'!$C:$C,"&gt;"&amp;AW$8)</f>
        <v>0</v>
      </c>
      <c r="AY51" s="43">
        <f>SUMIFS('Journal Entries'!$L:$L,'Journal Entries'!$K:$K,$C51,'Journal Entries'!$C:$C,"&lt;="&amp;AY$8,'Journal Entries'!$C:$C,"&gt;"&amp;AX$8)</f>
        <v>0</v>
      </c>
      <c r="AZ51" s="43">
        <f>SUMIFS('Journal Entries'!$L:$L,'Journal Entries'!$K:$K,$C51,'Journal Entries'!$C:$C,"&lt;="&amp;AZ$8,'Journal Entries'!$C:$C,"&gt;"&amp;AY$8)</f>
        <v>0</v>
      </c>
      <c r="BA51" s="43">
        <f>SUMIFS('Journal Entries'!$L:$L,'Journal Entries'!$K:$K,$C51,'Journal Entries'!$C:$C,"&lt;="&amp;BA$8,'Journal Entries'!$C:$C,"&gt;"&amp;AZ$8)</f>
        <v>0</v>
      </c>
      <c r="BB51" s="43">
        <f>SUMIFS('Journal Entries'!$L:$L,'Journal Entries'!$K:$K,$C51,'Journal Entries'!$C:$C,"&lt;="&amp;BB$8,'Journal Entries'!$C:$C,"&gt;"&amp;BA$8)</f>
        <v>0</v>
      </c>
      <c r="BC51" s="43">
        <f>SUMIFS('Journal Entries'!$L:$L,'Journal Entries'!$K:$K,$C51,'Journal Entries'!$C:$C,"&lt;="&amp;BC$8,'Journal Entries'!$C:$C,"&gt;"&amp;BB$8)</f>
        <v>0</v>
      </c>
      <c r="BD51" s="43">
        <f>SUMIFS('Journal Entries'!$L:$L,'Journal Entries'!$K:$K,$C51,'Journal Entries'!$C:$C,"&lt;="&amp;BD$8,'Journal Entries'!$C:$C,"&gt;"&amp;BC$8)</f>
        <v>0</v>
      </c>
      <c r="BE51" s="43">
        <f>SUMIFS('Journal Entries'!$L:$L,'Journal Entries'!$K:$K,$C51,'Journal Entries'!$C:$C,"&lt;="&amp;BE$8,'Journal Entries'!$C:$C,"&gt;"&amp;BD$8)</f>
        <v>0</v>
      </c>
      <c r="BF51" s="43">
        <f>SUMIFS('Journal Entries'!$L:$L,'Journal Entries'!$K:$K,$C51,'Journal Entries'!$C:$C,"&lt;="&amp;BF$8,'Journal Entries'!$C:$C,"&gt;"&amp;BE$8)</f>
        <v>0</v>
      </c>
      <c r="BG51" s="43">
        <f>SUMIFS('Journal Entries'!$L:$L,'Journal Entries'!$K:$K,$C51,'Journal Entries'!$C:$C,"&lt;="&amp;BG$8,'Journal Entries'!$C:$C,"&gt;"&amp;BF$8)</f>
        <v>0</v>
      </c>
      <c r="BH51" s="43">
        <f>SUMIFS('Journal Entries'!$L:$L,'Journal Entries'!$K:$K,$C51,'Journal Entries'!$C:$C,"&lt;="&amp;BH$8,'Journal Entries'!$C:$C,"&gt;"&amp;BG$8)</f>
        <v>0</v>
      </c>
      <c r="BI51" s="43">
        <f>SUMIFS('Journal Entries'!$L:$L,'Journal Entries'!$K:$K,$C51,'Journal Entries'!$C:$C,"&lt;="&amp;BI$8,'Journal Entries'!$C:$C,"&gt;"&amp;BH$8)</f>
        <v>0</v>
      </c>
      <c r="BJ51" s="43">
        <f>SUMIFS('Journal Entries'!$L:$L,'Journal Entries'!$K:$K,$C51,'Journal Entries'!$C:$C,"&lt;="&amp;BJ$8,'Journal Entries'!$C:$C,"&gt;"&amp;BI$8)</f>
        <v>0</v>
      </c>
      <c r="BK51" s="43">
        <f>SUMIFS('Journal Entries'!$L:$L,'Journal Entries'!$K:$K,$C51,'Journal Entries'!$C:$C,"&lt;="&amp;BK$8,'Journal Entries'!$C:$C,"&gt;"&amp;BJ$8)</f>
        <v>0</v>
      </c>
      <c r="BL51" s="43">
        <f>SUMIFS('Journal Entries'!$L:$L,'Journal Entries'!$K:$K,$C51,'Journal Entries'!$C:$C,"&lt;="&amp;BL$8,'Journal Entries'!$C:$C,"&gt;"&amp;BK$8)</f>
        <v>0</v>
      </c>
    </row>
    <row r="52" spans="2:64" x14ac:dyDescent="0.25">
      <c r="B52" s="10">
        <v>5000</v>
      </c>
      <c r="C52" s="10" t="str">
        <f>VLOOKUP(B52,'Chart of Accounts'!$B$3:$C$95,2,0)</f>
        <v>Management fee expense</v>
      </c>
      <c r="D52" s="525">
        <f t="shared" si="2"/>
        <v>300000</v>
      </c>
      <c r="E52" s="43">
        <f>SUMIFS('Journal Entries'!$L:$L,'Journal Entries'!$K:$K,$C52,'Journal Entries'!$C:$C,"&lt;="&amp;E$8,'Journal Entries'!$C:$C,"&gt;"&amp;D$8)</f>
        <v>25000</v>
      </c>
      <c r="F52" s="43">
        <f>SUMIFS('Journal Entries'!$L:$L,'Journal Entries'!$K:$K,$C52,'Journal Entries'!$C:$C,"&lt;="&amp;F$8,'Journal Entries'!$C:$C,"&gt;"&amp;E$8)</f>
        <v>25000</v>
      </c>
      <c r="G52" s="43">
        <f>SUMIFS('Journal Entries'!$L:$L,'Journal Entries'!$K:$K,$C52,'Journal Entries'!$C:$C,"&lt;="&amp;G$8,'Journal Entries'!$C:$C,"&gt;"&amp;F$8)</f>
        <v>25000</v>
      </c>
      <c r="H52" s="43">
        <f>SUMIFS('Journal Entries'!$L:$L,'Journal Entries'!$K:$K,$C52,'Journal Entries'!$C:$C,"&lt;="&amp;H$8,'Journal Entries'!$C:$C,"&gt;"&amp;G$8)</f>
        <v>25000</v>
      </c>
      <c r="I52" s="43">
        <f>SUMIFS('Journal Entries'!$L:$L,'Journal Entries'!$K:$K,$C52,'Journal Entries'!$C:$C,"&lt;="&amp;I$8,'Journal Entries'!$C:$C,"&gt;"&amp;H$8)</f>
        <v>25000</v>
      </c>
      <c r="J52" s="43">
        <f>SUMIFS('Journal Entries'!$L:$L,'Journal Entries'!$K:$K,$C52,'Journal Entries'!$C:$C,"&lt;="&amp;J$8,'Journal Entries'!$C:$C,"&gt;"&amp;I$8)</f>
        <v>25000</v>
      </c>
      <c r="K52" s="43">
        <f>SUMIFS('Journal Entries'!$L:$L,'Journal Entries'!$K:$K,$C52,'Journal Entries'!$C:$C,"&lt;="&amp;K$8,'Journal Entries'!$C:$C,"&gt;"&amp;J$8)</f>
        <v>25000</v>
      </c>
      <c r="L52" s="43">
        <f>SUMIFS('Journal Entries'!$L:$L,'Journal Entries'!$K:$K,$C52,'Journal Entries'!$C:$C,"&lt;="&amp;L$8,'Journal Entries'!$C:$C,"&gt;"&amp;K$8)</f>
        <v>25000</v>
      </c>
      <c r="M52" s="43">
        <f>SUMIFS('Journal Entries'!$L:$L,'Journal Entries'!$K:$K,$C52,'Journal Entries'!$C:$C,"&lt;="&amp;M$8,'Journal Entries'!$C:$C,"&gt;"&amp;L$8)</f>
        <v>25000</v>
      </c>
      <c r="N52" s="43">
        <f>SUMIFS('Journal Entries'!$L:$L,'Journal Entries'!$K:$K,$C52,'Journal Entries'!$C:$C,"&lt;="&amp;N$8,'Journal Entries'!$C:$C,"&gt;"&amp;M$8)</f>
        <v>25000</v>
      </c>
      <c r="O52" s="43">
        <f>SUMIFS('Journal Entries'!$L:$L,'Journal Entries'!$K:$K,$C52,'Journal Entries'!$C:$C,"&lt;="&amp;O$8,'Journal Entries'!$C:$C,"&gt;"&amp;N$8)</f>
        <v>25000</v>
      </c>
      <c r="P52" s="43">
        <f>SUMIFS('Journal Entries'!$L:$L,'Journal Entries'!$K:$K,$C52,'Journal Entries'!$C:$C,"&lt;="&amp;P$8,'Journal Entries'!$C:$C,"&gt;"&amp;O$8)</f>
        <v>25000</v>
      </c>
      <c r="Q52" s="43">
        <f>SUMIFS('Journal Entries'!$L:$L,'Journal Entries'!$K:$K,$C52,'Journal Entries'!$C:$C,"&lt;="&amp;Q$8,'Journal Entries'!$C:$C,"&gt;"&amp;P$8)</f>
        <v>0</v>
      </c>
      <c r="R52" s="43">
        <f>SUMIFS('Journal Entries'!$L:$L,'Journal Entries'!$K:$K,$C52,'Journal Entries'!$C:$C,"&lt;="&amp;R$8,'Journal Entries'!$C:$C,"&gt;"&amp;Q$8)</f>
        <v>0</v>
      </c>
      <c r="S52" s="43">
        <f>SUMIFS('Journal Entries'!$L:$L,'Journal Entries'!$K:$K,$C52,'Journal Entries'!$C:$C,"&lt;="&amp;S$8,'Journal Entries'!$C:$C,"&gt;"&amp;R$8)</f>
        <v>0</v>
      </c>
      <c r="T52" s="43">
        <f>SUMIFS('Journal Entries'!$L:$L,'Journal Entries'!$K:$K,$C52,'Journal Entries'!$C:$C,"&lt;="&amp;T$8,'Journal Entries'!$C:$C,"&gt;"&amp;S$8)</f>
        <v>0</v>
      </c>
      <c r="U52" s="43">
        <f>SUMIFS('Journal Entries'!$L:$L,'Journal Entries'!$K:$K,$C52,'Journal Entries'!$C:$C,"&lt;="&amp;U$8,'Journal Entries'!$C:$C,"&gt;"&amp;T$8)</f>
        <v>0</v>
      </c>
      <c r="V52" s="43">
        <f>SUMIFS('Journal Entries'!$L:$L,'Journal Entries'!$K:$K,$C52,'Journal Entries'!$C:$C,"&lt;="&amp;V$8,'Journal Entries'!$C:$C,"&gt;"&amp;U$8)</f>
        <v>0</v>
      </c>
      <c r="W52" s="43">
        <f>SUMIFS('Journal Entries'!$L:$L,'Journal Entries'!$K:$K,$C52,'Journal Entries'!$C:$C,"&lt;="&amp;W$8,'Journal Entries'!$C:$C,"&gt;"&amp;V$8)</f>
        <v>0</v>
      </c>
      <c r="X52" s="43">
        <f>SUMIFS('Journal Entries'!$L:$L,'Journal Entries'!$K:$K,$C52,'Journal Entries'!$C:$C,"&lt;="&amp;X$8,'Journal Entries'!$C:$C,"&gt;"&amp;W$8)</f>
        <v>0</v>
      </c>
      <c r="Y52" s="43">
        <f>SUMIFS('Journal Entries'!$L:$L,'Journal Entries'!$K:$K,$C52,'Journal Entries'!$C:$C,"&lt;="&amp;Y$8,'Journal Entries'!$C:$C,"&gt;"&amp;X$8)</f>
        <v>0</v>
      </c>
      <c r="Z52" s="43">
        <f>SUMIFS('Journal Entries'!$L:$L,'Journal Entries'!$K:$K,$C52,'Journal Entries'!$C:$C,"&lt;="&amp;Z$8,'Journal Entries'!$C:$C,"&gt;"&amp;Y$8)</f>
        <v>0</v>
      </c>
      <c r="AA52" s="43">
        <f>SUMIFS('Journal Entries'!$L:$L,'Journal Entries'!$K:$K,$C52,'Journal Entries'!$C:$C,"&lt;="&amp;AA$8,'Journal Entries'!$C:$C,"&gt;"&amp;Z$8)</f>
        <v>0</v>
      </c>
      <c r="AB52" s="43">
        <f>SUMIFS('Journal Entries'!$L:$L,'Journal Entries'!$K:$K,$C52,'Journal Entries'!$C:$C,"&lt;="&amp;AB$8,'Journal Entries'!$C:$C,"&gt;"&amp;AA$8)</f>
        <v>0</v>
      </c>
      <c r="AC52" s="43">
        <f>SUMIFS('Journal Entries'!$L:$L,'Journal Entries'!$K:$K,$C52,'Journal Entries'!$C:$C,"&lt;="&amp;AC$8,'Journal Entries'!$C:$C,"&gt;"&amp;AB$8)</f>
        <v>0</v>
      </c>
      <c r="AD52" s="43">
        <f>SUMIFS('Journal Entries'!$L:$L,'Journal Entries'!$K:$K,$C52,'Journal Entries'!$C:$C,"&lt;="&amp;AD$8,'Journal Entries'!$C:$C,"&gt;"&amp;AC$8)</f>
        <v>0</v>
      </c>
      <c r="AE52" s="43">
        <f>SUMIFS('Journal Entries'!$L:$L,'Journal Entries'!$K:$K,$C52,'Journal Entries'!$C:$C,"&lt;="&amp;AE$8,'Journal Entries'!$C:$C,"&gt;"&amp;AD$8)</f>
        <v>0</v>
      </c>
      <c r="AF52" s="43">
        <f>SUMIFS('Journal Entries'!$L:$L,'Journal Entries'!$K:$K,$C52,'Journal Entries'!$C:$C,"&lt;="&amp;AF$8,'Journal Entries'!$C:$C,"&gt;"&amp;AE$8)</f>
        <v>0</v>
      </c>
      <c r="AG52" s="43">
        <f>SUMIFS('Journal Entries'!$L:$L,'Journal Entries'!$K:$K,$C52,'Journal Entries'!$C:$C,"&lt;="&amp;AG$8,'Journal Entries'!$C:$C,"&gt;"&amp;AF$8)</f>
        <v>0</v>
      </c>
      <c r="AH52" s="43">
        <f>SUMIFS('Journal Entries'!$L:$L,'Journal Entries'!$K:$K,$C52,'Journal Entries'!$C:$C,"&lt;="&amp;AH$8,'Journal Entries'!$C:$C,"&gt;"&amp;AG$8)</f>
        <v>0</v>
      </c>
      <c r="AI52" s="43">
        <f>SUMIFS('Journal Entries'!$L:$L,'Journal Entries'!$K:$K,$C52,'Journal Entries'!$C:$C,"&lt;="&amp;AI$8,'Journal Entries'!$C:$C,"&gt;"&amp;AH$8)</f>
        <v>0</v>
      </c>
      <c r="AJ52" s="43">
        <f>SUMIFS('Journal Entries'!$L:$L,'Journal Entries'!$K:$K,$C52,'Journal Entries'!$C:$C,"&lt;="&amp;AJ$8,'Journal Entries'!$C:$C,"&gt;"&amp;AI$8)</f>
        <v>0</v>
      </c>
      <c r="AK52" s="43">
        <f>SUMIFS('Journal Entries'!$L:$L,'Journal Entries'!$K:$K,$C52,'Journal Entries'!$C:$C,"&lt;="&amp;AK$8,'Journal Entries'!$C:$C,"&gt;"&amp;AJ$8)</f>
        <v>0</v>
      </c>
      <c r="AL52" s="43">
        <f>SUMIFS('Journal Entries'!$L:$L,'Journal Entries'!$K:$K,$C52,'Journal Entries'!$C:$C,"&lt;="&amp;AL$8,'Journal Entries'!$C:$C,"&gt;"&amp;AK$8)</f>
        <v>0</v>
      </c>
      <c r="AM52" s="43">
        <f>SUMIFS('Journal Entries'!$L:$L,'Journal Entries'!$K:$K,$C52,'Journal Entries'!$C:$C,"&lt;="&amp;AM$8,'Journal Entries'!$C:$C,"&gt;"&amp;AL$8)</f>
        <v>0</v>
      </c>
      <c r="AN52" s="43">
        <f>SUMIFS('Journal Entries'!$L:$L,'Journal Entries'!$K:$K,$C52,'Journal Entries'!$C:$C,"&lt;="&amp;AN$8,'Journal Entries'!$C:$C,"&gt;"&amp;AM$8)</f>
        <v>0</v>
      </c>
      <c r="AO52" s="43">
        <f>SUMIFS('Journal Entries'!$L:$L,'Journal Entries'!$K:$K,$C52,'Journal Entries'!$C:$C,"&lt;="&amp;AO$8,'Journal Entries'!$C:$C,"&gt;"&amp;AN$8)</f>
        <v>0</v>
      </c>
      <c r="AP52" s="43">
        <f>SUMIFS('Journal Entries'!$L:$L,'Journal Entries'!$K:$K,$C52,'Journal Entries'!$C:$C,"&lt;="&amp;AP$8,'Journal Entries'!$C:$C,"&gt;"&amp;AO$8)</f>
        <v>0</v>
      </c>
      <c r="AQ52" s="43">
        <f>SUMIFS('Journal Entries'!$L:$L,'Journal Entries'!$K:$K,$C52,'Journal Entries'!$C:$C,"&lt;="&amp;AQ$8,'Journal Entries'!$C:$C,"&gt;"&amp;AP$8)</f>
        <v>0</v>
      </c>
      <c r="AR52" s="43">
        <f>SUMIFS('Journal Entries'!$L:$L,'Journal Entries'!$K:$K,$C52,'Journal Entries'!$C:$C,"&lt;="&amp;AR$8,'Journal Entries'!$C:$C,"&gt;"&amp;AQ$8)</f>
        <v>0</v>
      </c>
      <c r="AS52" s="43">
        <f>SUMIFS('Journal Entries'!$L:$L,'Journal Entries'!$K:$K,$C52,'Journal Entries'!$C:$C,"&lt;="&amp;AS$8,'Journal Entries'!$C:$C,"&gt;"&amp;AR$8)</f>
        <v>0</v>
      </c>
      <c r="AT52" s="43">
        <f>SUMIFS('Journal Entries'!$L:$L,'Journal Entries'!$K:$K,$C52,'Journal Entries'!$C:$C,"&lt;="&amp;AT$8,'Journal Entries'!$C:$C,"&gt;"&amp;AS$8)</f>
        <v>0</v>
      </c>
      <c r="AU52" s="43">
        <f>SUMIFS('Journal Entries'!$L:$L,'Journal Entries'!$K:$K,$C52,'Journal Entries'!$C:$C,"&lt;="&amp;AU$8,'Journal Entries'!$C:$C,"&gt;"&amp;AT$8)</f>
        <v>0</v>
      </c>
      <c r="AV52" s="43">
        <f>SUMIFS('Journal Entries'!$L:$L,'Journal Entries'!$K:$K,$C52,'Journal Entries'!$C:$C,"&lt;="&amp;AV$8,'Journal Entries'!$C:$C,"&gt;"&amp;AU$8)</f>
        <v>0</v>
      </c>
      <c r="AW52" s="43">
        <f>SUMIFS('Journal Entries'!$L:$L,'Journal Entries'!$K:$K,$C52,'Journal Entries'!$C:$C,"&lt;="&amp;AW$8,'Journal Entries'!$C:$C,"&gt;"&amp;AV$8)</f>
        <v>0</v>
      </c>
      <c r="AX52" s="43">
        <f>SUMIFS('Journal Entries'!$L:$L,'Journal Entries'!$K:$K,$C52,'Journal Entries'!$C:$C,"&lt;="&amp;AX$8,'Journal Entries'!$C:$C,"&gt;"&amp;AW$8)</f>
        <v>0</v>
      </c>
      <c r="AY52" s="43">
        <f>SUMIFS('Journal Entries'!$L:$L,'Journal Entries'!$K:$K,$C52,'Journal Entries'!$C:$C,"&lt;="&amp;AY$8,'Journal Entries'!$C:$C,"&gt;"&amp;AX$8)</f>
        <v>0</v>
      </c>
      <c r="AZ52" s="43">
        <f>SUMIFS('Journal Entries'!$L:$L,'Journal Entries'!$K:$K,$C52,'Journal Entries'!$C:$C,"&lt;="&amp;AZ$8,'Journal Entries'!$C:$C,"&gt;"&amp;AY$8)</f>
        <v>0</v>
      </c>
      <c r="BA52" s="43">
        <f>SUMIFS('Journal Entries'!$L:$L,'Journal Entries'!$K:$K,$C52,'Journal Entries'!$C:$C,"&lt;="&amp;BA$8,'Journal Entries'!$C:$C,"&gt;"&amp;AZ$8)</f>
        <v>0</v>
      </c>
      <c r="BB52" s="43">
        <f>SUMIFS('Journal Entries'!$L:$L,'Journal Entries'!$K:$K,$C52,'Journal Entries'!$C:$C,"&lt;="&amp;BB$8,'Journal Entries'!$C:$C,"&gt;"&amp;BA$8)</f>
        <v>0</v>
      </c>
      <c r="BC52" s="43">
        <f>SUMIFS('Journal Entries'!$L:$L,'Journal Entries'!$K:$K,$C52,'Journal Entries'!$C:$C,"&lt;="&amp;BC$8,'Journal Entries'!$C:$C,"&gt;"&amp;BB$8)</f>
        <v>0</v>
      </c>
      <c r="BD52" s="43">
        <f>SUMIFS('Journal Entries'!$L:$L,'Journal Entries'!$K:$K,$C52,'Journal Entries'!$C:$C,"&lt;="&amp;BD$8,'Journal Entries'!$C:$C,"&gt;"&amp;BC$8)</f>
        <v>0</v>
      </c>
      <c r="BE52" s="43">
        <f>SUMIFS('Journal Entries'!$L:$L,'Journal Entries'!$K:$K,$C52,'Journal Entries'!$C:$C,"&lt;="&amp;BE$8,'Journal Entries'!$C:$C,"&gt;"&amp;BD$8)</f>
        <v>0</v>
      </c>
      <c r="BF52" s="43">
        <f>SUMIFS('Journal Entries'!$L:$L,'Journal Entries'!$K:$K,$C52,'Journal Entries'!$C:$C,"&lt;="&amp;BF$8,'Journal Entries'!$C:$C,"&gt;"&amp;BE$8)</f>
        <v>0</v>
      </c>
      <c r="BG52" s="43">
        <f>SUMIFS('Journal Entries'!$L:$L,'Journal Entries'!$K:$K,$C52,'Journal Entries'!$C:$C,"&lt;="&amp;BG$8,'Journal Entries'!$C:$C,"&gt;"&amp;BF$8)</f>
        <v>0</v>
      </c>
      <c r="BH52" s="43">
        <f>SUMIFS('Journal Entries'!$L:$L,'Journal Entries'!$K:$K,$C52,'Journal Entries'!$C:$C,"&lt;="&amp;BH$8,'Journal Entries'!$C:$C,"&gt;"&amp;BG$8)</f>
        <v>0</v>
      </c>
      <c r="BI52" s="43">
        <f>SUMIFS('Journal Entries'!$L:$L,'Journal Entries'!$K:$K,$C52,'Journal Entries'!$C:$C,"&lt;="&amp;BI$8,'Journal Entries'!$C:$C,"&gt;"&amp;BH$8)</f>
        <v>0</v>
      </c>
      <c r="BJ52" s="43">
        <f>SUMIFS('Journal Entries'!$L:$L,'Journal Entries'!$K:$K,$C52,'Journal Entries'!$C:$C,"&lt;="&amp;BJ$8,'Journal Entries'!$C:$C,"&gt;"&amp;BI$8)</f>
        <v>0</v>
      </c>
      <c r="BK52" s="43">
        <f>SUMIFS('Journal Entries'!$L:$L,'Journal Entries'!$K:$K,$C52,'Journal Entries'!$C:$C,"&lt;="&amp;BK$8,'Journal Entries'!$C:$C,"&gt;"&amp;BJ$8)</f>
        <v>0</v>
      </c>
      <c r="BL52" s="43">
        <f>SUMIFS('Journal Entries'!$L:$L,'Journal Entries'!$K:$K,$C52,'Journal Entries'!$C:$C,"&lt;="&amp;BL$8,'Journal Entries'!$C:$C,"&gt;"&amp;BK$8)</f>
        <v>0</v>
      </c>
    </row>
    <row r="53" spans="2:64" x14ac:dyDescent="0.25">
      <c r="B53" s="10">
        <v>5010</v>
      </c>
      <c r="C53" s="10" t="str">
        <f>VLOOKUP(B53,'Chart of Accounts'!$B$3:$C$95,2,0)</f>
        <v>Performance fee expense</v>
      </c>
      <c r="D53" s="525">
        <f t="shared" si="2"/>
        <v>0</v>
      </c>
      <c r="E53" s="43">
        <f>SUMIFS('Journal Entries'!$L:$L,'Journal Entries'!$K:$K,$C53,'Journal Entries'!$C:$C,"&lt;="&amp;E$8,'Journal Entries'!$C:$C,"&gt;"&amp;D$8)</f>
        <v>0</v>
      </c>
      <c r="F53" s="43">
        <f>SUMIFS('Journal Entries'!$L:$L,'Journal Entries'!$K:$K,$C53,'Journal Entries'!$C:$C,"&lt;="&amp;F$8,'Journal Entries'!$C:$C,"&gt;"&amp;E$8)</f>
        <v>0</v>
      </c>
      <c r="G53" s="43">
        <f>SUMIFS('Journal Entries'!$L:$L,'Journal Entries'!$K:$K,$C53,'Journal Entries'!$C:$C,"&lt;="&amp;G$8,'Journal Entries'!$C:$C,"&gt;"&amp;F$8)</f>
        <v>0</v>
      </c>
      <c r="H53" s="43">
        <f>SUMIFS('Journal Entries'!$L:$L,'Journal Entries'!$K:$K,$C53,'Journal Entries'!$C:$C,"&lt;="&amp;H$8,'Journal Entries'!$C:$C,"&gt;"&amp;G$8)</f>
        <v>0</v>
      </c>
      <c r="I53" s="43">
        <f>SUMIFS('Journal Entries'!$L:$L,'Journal Entries'!$K:$K,$C53,'Journal Entries'!$C:$C,"&lt;="&amp;I$8,'Journal Entries'!$C:$C,"&gt;"&amp;H$8)</f>
        <v>0</v>
      </c>
      <c r="J53" s="43">
        <f>SUMIFS('Journal Entries'!$L:$L,'Journal Entries'!$K:$K,$C53,'Journal Entries'!$C:$C,"&lt;="&amp;J$8,'Journal Entries'!$C:$C,"&gt;"&amp;I$8)</f>
        <v>0</v>
      </c>
      <c r="K53" s="43">
        <f>SUMIFS('Journal Entries'!$L:$L,'Journal Entries'!$K:$K,$C53,'Journal Entries'!$C:$C,"&lt;="&amp;K$8,'Journal Entries'!$C:$C,"&gt;"&amp;J$8)</f>
        <v>0</v>
      </c>
      <c r="L53" s="43">
        <f>SUMIFS('Journal Entries'!$L:$L,'Journal Entries'!$K:$K,$C53,'Journal Entries'!$C:$C,"&lt;="&amp;L$8,'Journal Entries'!$C:$C,"&gt;"&amp;K$8)</f>
        <v>0</v>
      </c>
      <c r="M53" s="43">
        <f>SUMIFS('Journal Entries'!$L:$L,'Journal Entries'!$K:$K,$C53,'Journal Entries'!$C:$C,"&lt;="&amp;M$8,'Journal Entries'!$C:$C,"&gt;"&amp;L$8)</f>
        <v>0</v>
      </c>
      <c r="N53" s="43">
        <f>SUMIFS('Journal Entries'!$L:$L,'Journal Entries'!$K:$K,$C53,'Journal Entries'!$C:$C,"&lt;="&amp;N$8,'Journal Entries'!$C:$C,"&gt;"&amp;M$8)</f>
        <v>0</v>
      </c>
      <c r="O53" s="43">
        <f>SUMIFS('Journal Entries'!$L:$L,'Journal Entries'!$K:$K,$C53,'Journal Entries'!$C:$C,"&lt;="&amp;O$8,'Journal Entries'!$C:$C,"&gt;"&amp;N$8)</f>
        <v>0</v>
      </c>
      <c r="P53" s="43">
        <f>SUMIFS('Journal Entries'!$L:$L,'Journal Entries'!$K:$K,$C53,'Journal Entries'!$C:$C,"&lt;="&amp;P$8,'Journal Entries'!$C:$C,"&gt;"&amp;O$8)</f>
        <v>0</v>
      </c>
      <c r="Q53" s="43">
        <f>SUMIFS('Journal Entries'!$L:$L,'Journal Entries'!$K:$K,$C53,'Journal Entries'!$C:$C,"&lt;="&amp;Q$8,'Journal Entries'!$C:$C,"&gt;"&amp;P$8)</f>
        <v>0</v>
      </c>
      <c r="R53" s="43">
        <f>SUMIFS('Journal Entries'!$L:$L,'Journal Entries'!$K:$K,$C53,'Journal Entries'!$C:$C,"&lt;="&amp;R$8,'Journal Entries'!$C:$C,"&gt;"&amp;Q$8)</f>
        <v>0</v>
      </c>
      <c r="S53" s="43">
        <f>SUMIFS('Journal Entries'!$L:$L,'Journal Entries'!$K:$K,$C53,'Journal Entries'!$C:$C,"&lt;="&amp;S$8,'Journal Entries'!$C:$C,"&gt;"&amp;R$8)</f>
        <v>0</v>
      </c>
      <c r="T53" s="43">
        <f>SUMIFS('Journal Entries'!$L:$L,'Journal Entries'!$K:$K,$C53,'Journal Entries'!$C:$C,"&lt;="&amp;T$8,'Journal Entries'!$C:$C,"&gt;"&amp;S$8)</f>
        <v>0</v>
      </c>
      <c r="U53" s="43">
        <f>SUMIFS('Journal Entries'!$L:$L,'Journal Entries'!$K:$K,$C53,'Journal Entries'!$C:$C,"&lt;="&amp;U$8,'Journal Entries'!$C:$C,"&gt;"&amp;T$8)</f>
        <v>0</v>
      </c>
      <c r="V53" s="43">
        <f>SUMIFS('Journal Entries'!$L:$L,'Journal Entries'!$K:$K,$C53,'Journal Entries'!$C:$C,"&lt;="&amp;V$8,'Journal Entries'!$C:$C,"&gt;"&amp;U$8)</f>
        <v>0</v>
      </c>
      <c r="W53" s="43">
        <f>SUMIFS('Journal Entries'!$L:$L,'Journal Entries'!$K:$K,$C53,'Journal Entries'!$C:$C,"&lt;="&amp;W$8,'Journal Entries'!$C:$C,"&gt;"&amp;V$8)</f>
        <v>0</v>
      </c>
      <c r="X53" s="43">
        <f>SUMIFS('Journal Entries'!$L:$L,'Journal Entries'!$K:$K,$C53,'Journal Entries'!$C:$C,"&lt;="&amp;X$8,'Journal Entries'!$C:$C,"&gt;"&amp;W$8)</f>
        <v>0</v>
      </c>
      <c r="Y53" s="43">
        <f>SUMIFS('Journal Entries'!$L:$L,'Journal Entries'!$K:$K,$C53,'Journal Entries'!$C:$C,"&lt;="&amp;Y$8,'Journal Entries'!$C:$C,"&gt;"&amp;X$8)</f>
        <v>0</v>
      </c>
      <c r="Z53" s="43">
        <f>SUMIFS('Journal Entries'!$L:$L,'Journal Entries'!$K:$K,$C53,'Journal Entries'!$C:$C,"&lt;="&amp;Z$8,'Journal Entries'!$C:$C,"&gt;"&amp;Y$8)</f>
        <v>0</v>
      </c>
      <c r="AA53" s="43">
        <f>SUMIFS('Journal Entries'!$L:$L,'Journal Entries'!$K:$K,$C53,'Journal Entries'!$C:$C,"&lt;="&amp;AA$8,'Journal Entries'!$C:$C,"&gt;"&amp;Z$8)</f>
        <v>0</v>
      </c>
      <c r="AB53" s="43">
        <f>SUMIFS('Journal Entries'!$L:$L,'Journal Entries'!$K:$K,$C53,'Journal Entries'!$C:$C,"&lt;="&amp;AB$8,'Journal Entries'!$C:$C,"&gt;"&amp;AA$8)</f>
        <v>0</v>
      </c>
      <c r="AC53" s="43">
        <f>SUMIFS('Journal Entries'!$L:$L,'Journal Entries'!$K:$K,$C53,'Journal Entries'!$C:$C,"&lt;="&amp;AC$8,'Journal Entries'!$C:$C,"&gt;"&amp;AB$8)</f>
        <v>0</v>
      </c>
      <c r="AD53" s="43">
        <f>SUMIFS('Journal Entries'!$L:$L,'Journal Entries'!$K:$K,$C53,'Journal Entries'!$C:$C,"&lt;="&amp;AD$8,'Journal Entries'!$C:$C,"&gt;"&amp;AC$8)</f>
        <v>0</v>
      </c>
      <c r="AE53" s="43">
        <f>SUMIFS('Journal Entries'!$L:$L,'Journal Entries'!$K:$K,$C53,'Journal Entries'!$C:$C,"&lt;="&amp;AE$8,'Journal Entries'!$C:$C,"&gt;"&amp;AD$8)</f>
        <v>0</v>
      </c>
      <c r="AF53" s="43">
        <f>SUMIFS('Journal Entries'!$L:$L,'Journal Entries'!$K:$K,$C53,'Journal Entries'!$C:$C,"&lt;="&amp;AF$8,'Journal Entries'!$C:$C,"&gt;"&amp;AE$8)</f>
        <v>0</v>
      </c>
      <c r="AG53" s="43">
        <f>SUMIFS('Journal Entries'!$L:$L,'Journal Entries'!$K:$K,$C53,'Journal Entries'!$C:$C,"&lt;="&amp;AG$8,'Journal Entries'!$C:$C,"&gt;"&amp;AF$8)</f>
        <v>0</v>
      </c>
      <c r="AH53" s="43">
        <f>SUMIFS('Journal Entries'!$L:$L,'Journal Entries'!$K:$K,$C53,'Journal Entries'!$C:$C,"&lt;="&amp;AH$8,'Journal Entries'!$C:$C,"&gt;"&amp;AG$8)</f>
        <v>0</v>
      </c>
      <c r="AI53" s="43">
        <f>SUMIFS('Journal Entries'!$L:$L,'Journal Entries'!$K:$K,$C53,'Journal Entries'!$C:$C,"&lt;="&amp;AI$8,'Journal Entries'!$C:$C,"&gt;"&amp;AH$8)</f>
        <v>0</v>
      </c>
      <c r="AJ53" s="43">
        <f>SUMIFS('Journal Entries'!$L:$L,'Journal Entries'!$K:$K,$C53,'Journal Entries'!$C:$C,"&lt;="&amp;AJ$8,'Journal Entries'!$C:$C,"&gt;"&amp;AI$8)</f>
        <v>0</v>
      </c>
      <c r="AK53" s="43">
        <f>SUMIFS('Journal Entries'!$L:$L,'Journal Entries'!$K:$K,$C53,'Journal Entries'!$C:$C,"&lt;="&amp;AK$8,'Journal Entries'!$C:$C,"&gt;"&amp;AJ$8)</f>
        <v>0</v>
      </c>
      <c r="AL53" s="43">
        <f>SUMIFS('Journal Entries'!$L:$L,'Journal Entries'!$K:$K,$C53,'Journal Entries'!$C:$C,"&lt;="&amp;AL$8,'Journal Entries'!$C:$C,"&gt;"&amp;AK$8)</f>
        <v>0</v>
      </c>
      <c r="AM53" s="43">
        <f>SUMIFS('Journal Entries'!$L:$L,'Journal Entries'!$K:$K,$C53,'Journal Entries'!$C:$C,"&lt;="&amp;AM$8,'Journal Entries'!$C:$C,"&gt;"&amp;AL$8)</f>
        <v>0</v>
      </c>
      <c r="AN53" s="43">
        <f>SUMIFS('Journal Entries'!$L:$L,'Journal Entries'!$K:$K,$C53,'Journal Entries'!$C:$C,"&lt;="&amp;AN$8,'Journal Entries'!$C:$C,"&gt;"&amp;AM$8)</f>
        <v>0</v>
      </c>
      <c r="AO53" s="43">
        <f>SUMIFS('Journal Entries'!$L:$L,'Journal Entries'!$K:$K,$C53,'Journal Entries'!$C:$C,"&lt;="&amp;AO$8,'Journal Entries'!$C:$C,"&gt;"&amp;AN$8)</f>
        <v>0</v>
      </c>
      <c r="AP53" s="43">
        <f>SUMIFS('Journal Entries'!$L:$L,'Journal Entries'!$K:$K,$C53,'Journal Entries'!$C:$C,"&lt;="&amp;AP$8,'Journal Entries'!$C:$C,"&gt;"&amp;AO$8)</f>
        <v>0</v>
      </c>
      <c r="AQ53" s="43">
        <f>SUMIFS('Journal Entries'!$L:$L,'Journal Entries'!$K:$K,$C53,'Journal Entries'!$C:$C,"&lt;="&amp;AQ$8,'Journal Entries'!$C:$C,"&gt;"&amp;AP$8)</f>
        <v>0</v>
      </c>
      <c r="AR53" s="43">
        <f>SUMIFS('Journal Entries'!$L:$L,'Journal Entries'!$K:$K,$C53,'Journal Entries'!$C:$C,"&lt;="&amp;AR$8,'Journal Entries'!$C:$C,"&gt;"&amp;AQ$8)</f>
        <v>0</v>
      </c>
      <c r="AS53" s="43">
        <f>SUMIFS('Journal Entries'!$L:$L,'Journal Entries'!$K:$K,$C53,'Journal Entries'!$C:$C,"&lt;="&amp;AS$8,'Journal Entries'!$C:$C,"&gt;"&amp;AR$8)</f>
        <v>0</v>
      </c>
      <c r="AT53" s="43">
        <f>SUMIFS('Journal Entries'!$L:$L,'Journal Entries'!$K:$K,$C53,'Journal Entries'!$C:$C,"&lt;="&amp;AT$8,'Journal Entries'!$C:$C,"&gt;"&amp;AS$8)</f>
        <v>0</v>
      </c>
      <c r="AU53" s="43">
        <f>SUMIFS('Journal Entries'!$L:$L,'Journal Entries'!$K:$K,$C53,'Journal Entries'!$C:$C,"&lt;="&amp;AU$8,'Journal Entries'!$C:$C,"&gt;"&amp;AT$8)</f>
        <v>0</v>
      </c>
      <c r="AV53" s="43">
        <f>SUMIFS('Journal Entries'!$L:$L,'Journal Entries'!$K:$K,$C53,'Journal Entries'!$C:$C,"&lt;="&amp;AV$8,'Journal Entries'!$C:$C,"&gt;"&amp;AU$8)</f>
        <v>0</v>
      </c>
      <c r="AW53" s="43">
        <f>SUMIFS('Journal Entries'!$L:$L,'Journal Entries'!$K:$K,$C53,'Journal Entries'!$C:$C,"&lt;="&amp;AW$8,'Journal Entries'!$C:$C,"&gt;"&amp;AV$8)</f>
        <v>0</v>
      </c>
      <c r="AX53" s="43">
        <f>SUMIFS('Journal Entries'!$L:$L,'Journal Entries'!$K:$K,$C53,'Journal Entries'!$C:$C,"&lt;="&amp;AX$8,'Journal Entries'!$C:$C,"&gt;"&amp;AW$8)</f>
        <v>0</v>
      </c>
      <c r="AY53" s="43">
        <f>SUMIFS('Journal Entries'!$L:$L,'Journal Entries'!$K:$K,$C53,'Journal Entries'!$C:$C,"&lt;="&amp;AY$8,'Journal Entries'!$C:$C,"&gt;"&amp;AX$8)</f>
        <v>0</v>
      </c>
      <c r="AZ53" s="43">
        <f>SUMIFS('Journal Entries'!$L:$L,'Journal Entries'!$K:$K,$C53,'Journal Entries'!$C:$C,"&lt;="&amp;AZ$8,'Journal Entries'!$C:$C,"&gt;"&amp;AY$8)</f>
        <v>0</v>
      </c>
      <c r="BA53" s="43">
        <f>SUMIFS('Journal Entries'!$L:$L,'Journal Entries'!$K:$K,$C53,'Journal Entries'!$C:$C,"&lt;="&amp;BA$8,'Journal Entries'!$C:$C,"&gt;"&amp;AZ$8)</f>
        <v>0</v>
      </c>
      <c r="BB53" s="43">
        <f>SUMIFS('Journal Entries'!$L:$L,'Journal Entries'!$K:$K,$C53,'Journal Entries'!$C:$C,"&lt;="&amp;BB$8,'Journal Entries'!$C:$C,"&gt;"&amp;BA$8)</f>
        <v>0</v>
      </c>
      <c r="BC53" s="43">
        <f>SUMIFS('Journal Entries'!$L:$L,'Journal Entries'!$K:$K,$C53,'Journal Entries'!$C:$C,"&lt;="&amp;BC$8,'Journal Entries'!$C:$C,"&gt;"&amp;BB$8)</f>
        <v>0</v>
      </c>
      <c r="BD53" s="43">
        <f>SUMIFS('Journal Entries'!$L:$L,'Journal Entries'!$K:$K,$C53,'Journal Entries'!$C:$C,"&lt;="&amp;BD$8,'Journal Entries'!$C:$C,"&gt;"&amp;BC$8)</f>
        <v>0</v>
      </c>
      <c r="BE53" s="43">
        <f>SUMIFS('Journal Entries'!$L:$L,'Journal Entries'!$K:$K,$C53,'Journal Entries'!$C:$C,"&lt;="&amp;BE$8,'Journal Entries'!$C:$C,"&gt;"&amp;BD$8)</f>
        <v>0</v>
      </c>
      <c r="BF53" s="43">
        <f>SUMIFS('Journal Entries'!$L:$L,'Journal Entries'!$K:$K,$C53,'Journal Entries'!$C:$C,"&lt;="&amp;BF$8,'Journal Entries'!$C:$C,"&gt;"&amp;BE$8)</f>
        <v>0</v>
      </c>
      <c r="BG53" s="43">
        <f>SUMIFS('Journal Entries'!$L:$L,'Journal Entries'!$K:$K,$C53,'Journal Entries'!$C:$C,"&lt;="&amp;BG$8,'Journal Entries'!$C:$C,"&gt;"&amp;BF$8)</f>
        <v>0</v>
      </c>
      <c r="BH53" s="43">
        <f>SUMIFS('Journal Entries'!$L:$L,'Journal Entries'!$K:$K,$C53,'Journal Entries'!$C:$C,"&lt;="&amp;BH$8,'Journal Entries'!$C:$C,"&gt;"&amp;BG$8)</f>
        <v>0</v>
      </c>
      <c r="BI53" s="43">
        <f>SUMIFS('Journal Entries'!$L:$L,'Journal Entries'!$K:$K,$C53,'Journal Entries'!$C:$C,"&lt;="&amp;BI$8,'Journal Entries'!$C:$C,"&gt;"&amp;BH$8)</f>
        <v>0</v>
      </c>
      <c r="BJ53" s="43">
        <f>SUMIFS('Journal Entries'!$L:$L,'Journal Entries'!$K:$K,$C53,'Journal Entries'!$C:$C,"&lt;="&amp;BJ$8,'Journal Entries'!$C:$C,"&gt;"&amp;BI$8)</f>
        <v>0</v>
      </c>
      <c r="BK53" s="43">
        <f>SUMIFS('Journal Entries'!$L:$L,'Journal Entries'!$K:$K,$C53,'Journal Entries'!$C:$C,"&lt;="&amp;BK$8,'Journal Entries'!$C:$C,"&gt;"&amp;BJ$8)</f>
        <v>0</v>
      </c>
      <c r="BL53" s="43">
        <f>SUMIFS('Journal Entries'!$L:$L,'Journal Entries'!$K:$K,$C53,'Journal Entries'!$C:$C,"&lt;="&amp;BL$8,'Journal Entries'!$C:$C,"&gt;"&amp;BK$8)</f>
        <v>0</v>
      </c>
    </row>
    <row r="54" spans="2:64" x14ac:dyDescent="0.25">
      <c r="B54" s="10">
        <v>5020</v>
      </c>
      <c r="C54" s="10" t="str">
        <f>VLOOKUP(B54,'Chart of Accounts'!$B$3:$C$95,2,0)</f>
        <v>Professional fee expense</v>
      </c>
      <c r="D54" s="525">
        <f t="shared" si="2"/>
        <v>0</v>
      </c>
      <c r="E54" s="43">
        <f>SUMIFS('Journal Entries'!$L:$L,'Journal Entries'!$K:$K,$C54,'Journal Entries'!$C:$C,"&lt;="&amp;E$8,'Journal Entries'!$C:$C,"&gt;"&amp;D$8)</f>
        <v>0</v>
      </c>
      <c r="F54" s="43">
        <f>SUMIFS('Journal Entries'!$L:$L,'Journal Entries'!$K:$K,$C54,'Journal Entries'!$C:$C,"&lt;="&amp;F$8,'Journal Entries'!$C:$C,"&gt;"&amp;E$8)</f>
        <v>0</v>
      </c>
      <c r="G54" s="43">
        <f>SUMIFS('Journal Entries'!$L:$L,'Journal Entries'!$K:$K,$C54,'Journal Entries'!$C:$C,"&lt;="&amp;G$8,'Journal Entries'!$C:$C,"&gt;"&amp;F$8)</f>
        <v>0</v>
      </c>
      <c r="H54" s="43">
        <f>SUMIFS('Journal Entries'!$L:$L,'Journal Entries'!$K:$K,$C54,'Journal Entries'!$C:$C,"&lt;="&amp;H$8,'Journal Entries'!$C:$C,"&gt;"&amp;G$8)</f>
        <v>0</v>
      </c>
      <c r="I54" s="43">
        <f>SUMIFS('Journal Entries'!$L:$L,'Journal Entries'!$K:$K,$C54,'Journal Entries'!$C:$C,"&lt;="&amp;I$8,'Journal Entries'!$C:$C,"&gt;"&amp;H$8)</f>
        <v>0</v>
      </c>
      <c r="J54" s="43">
        <f>SUMIFS('Journal Entries'!$L:$L,'Journal Entries'!$K:$K,$C54,'Journal Entries'!$C:$C,"&lt;="&amp;J$8,'Journal Entries'!$C:$C,"&gt;"&amp;I$8)</f>
        <v>0</v>
      </c>
      <c r="K54" s="43">
        <f>SUMIFS('Journal Entries'!$L:$L,'Journal Entries'!$K:$K,$C54,'Journal Entries'!$C:$C,"&lt;="&amp;K$8,'Journal Entries'!$C:$C,"&gt;"&amp;J$8)</f>
        <v>0</v>
      </c>
      <c r="L54" s="43">
        <f>SUMIFS('Journal Entries'!$L:$L,'Journal Entries'!$K:$K,$C54,'Journal Entries'!$C:$C,"&lt;="&amp;L$8,'Journal Entries'!$C:$C,"&gt;"&amp;K$8)</f>
        <v>0</v>
      </c>
      <c r="M54" s="43">
        <f>SUMIFS('Journal Entries'!$L:$L,'Journal Entries'!$K:$K,$C54,'Journal Entries'!$C:$C,"&lt;="&amp;M$8,'Journal Entries'!$C:$C,"&gt;"&amp;L$8)</f>
        <v>0</v>
      </c>
      <c r="N54" s="43">
        <f>SUMIFS('Journal Entries'!$L:$L,'Journal Entries'!$K:$K,$C54,'Journal Entries'!$C:$C,"&lt;="&amp;N$8,'Journal Entries'!$C:$C,"&gt;"&amp;M$8)</f>
        <v>0</v>
      </c>
      <c r="O54" s="43">
        <f>SUMIFS('Journal Entries'!$L:$L,'Journal Entries'!$K:$K,$C54,'Journal Entries'!$C:$C,"&lt;="&amp;O$8,'Journal Entries'!$C:$C,"&gt;"&amp;N$8)</f>
        <v>0</v>
      </c>
      <c r="P54" s="43">
        <f>SUMIFS('Journal Entries'!$L:$L,'Journal Entries'!$K:$K,$C54,'Journal Entries'!$C:$C,"&lt;="&amp;P$8,'Journal Entries'!$C:$C,"&gt;"&amp;O$8)</f>
        <v>0</v>
      </c>
      <c r="Q54" s="43">
        <f>SUMIFS('Journal Entries'!$L:$L,'Journal Entries'!$K:$K,$C54,'Journal Entries'!$C:$C,"&lt;="&amp;Q$8,'Journal Entries'!$C:$C,"&gt;"&amp;P$8)</f>
        <v>0</v>
      </c>
      <c r="R54" s="43">
        <f>SUMIFS('Journal Entries'!$L:$L,'Journal Entries'!$K:$K,$C54,'Journal Entries'!$C:$C,"&lt;="&amp;R$8,'Journal Entries'!$C:$C,"&gt;"&amp;Q$8)</f>
        <v>0</v>
      </c>
      <c r="S54" s="43">
        <f>SUMIFS('Journal Entries'!$L:$L,'Journal Entries'!$K:$K,$C54,'Journal Entries'!$C:$C,"&lt;="&amp;S$8,'Journal Entries'!$C:$C,"&gt;"&amp;R$8)</f>
        <v>0</v>
      </c>
      <c r="T54" s="43">
        <f>SUMIFS('Journal Entries'!$L:$L,'Journal Entries'!$K:$K,$C54,'Journal Entries'!$C:$C,"&lt;="&amp;T$8,'Journal Entries'!$C:$C,"&gt;"&amp;S$8)</f>
        <v>0</v>
      </c>
      <c r="U54" s="43">
        <f>SUMIFS('Journal Entries'!$L:$L,'Journal Entries'!$K:$K,$C54,'Journal Entries'!$C:$C,"&lt;="&amp;U$8,'Journal Entries'!$C:$C,"&gt;"&amp;T$8)</f>
        <v>0</v>
      </c>
      <c r="V54" s="43">
        <f>SUMIFS('Journal Entries'!$L:$L,'Journal Entries'!$K:$K,$C54,'Journal Entries'!$C:$C,"&lt;="&amp;V$8,'Journal Entries'!$C:$C,"&gt;"&amp;U$8)</f>
        <v>0</v>
      </c>
      <c r="W54" s="43">
        <f>SUMIFS('Journal Entries'!$L:$L,'Journal Entries'!$K:$K,$C54,'Journal Entries'!$C:$C,"&lt;="&amp;W$8,'Journal Entries'!$C:$C,"&gt;"&amp;V$8)</f>
        <v>0</v>
      </c>
      <c r="X54" s="43">
        <f>SUMIFS('Journal Entries'!$L:$L,'Journal Entries'!$K:$K,$C54,'Journal Entries'!$C:$C,"&lt;="&amp;X$8,'Journal Entries'!$C:$C,"&gt;"&amp;W$8)</f>
        <v>0</v>
      </c>
      <c r="Y54" s="43">
        <f>SUMIFS('Journal Entries'!$L:$L,'Journal Entries'!$K:$K,$C54,'Journal Entries'!$C:$C,"&lt;="&amp;Y$8,'Journal Entries'!$C:$C,"&gt;"&amp;X$8)</f>
        <v>0</v>
      </c>
      <c r="Z54" s="43">
        <f>SUMIFS('Journal Entries'!$L:$L,'Journal Entries'!$K:$K,$C54,'Journal Entries'!$C:$C,"&lt;="&amp;Z$8,'Journal Entries'!$C:$C,"&gt;"&amp;Y$8)</f>
        <v>0</v>
      </c>
      <c r="AA54" s="43">
        <f>SUMIFS('Journal Entries'!$L:$L,'Journal Entries'!$K:$K,$C54,'Journal Entries'!$C:$C,"&lt;="&amp;AA$8,'Journal Entries'!$C:$C,"&gt;"&amp;Z$8)</f>
        <v>0</v>
      </c>
      <c r="AB54" s="43">
        <f>SUMIFS('Journal Entries'!$L:$L,'Journal Entries'!$K:$K,$C54,'Journal Entries'!$C:$C,"&lt;="&amp;AB$8,'Journal Entries'!$C:$C,"&gt;"&amp;AA$8)</f>
        <v>0</v>
      </c>
      <c r="AC54" s="43">
        <f>SUMIFS('Journal Entries'!$L:$L,'Journal Entries'!$K:$K,$C54,'Journal Entries'!$C:$C,"&lt;="&amp;AC$8,'Journal Entries'!$C:$C,"&gt;"&amp;AB$8)</f>
        <v>0</v>
      </c>
      <c r="AD54" s="43">
        <f>SUMIFS('Journal Entries'!$L:$L,'Journal Entries'!$K:$K,$C54,'Journal Entries'!$C:$C,"&lt;="&amp;AD$8,'Journal Entries'!$C:$C,"&gt;"&amp;AC$8)</f>
        <v>0</v>
      </c>
      <c r="AE54" s="43">
        <f>SUMIFS('Journal Entries'!$L:$L,'Journal Entries'!$K:$K,$C54,'Journal Entries'!$C:$C,"&lt;="&amp;AE$8,'Journal Entries'!$C:$C,"&gt;"&amp;AD$8)</f>
        <v>0</v>
      </c>
      <c r="AF54" s="43">
        <f>SUMIFS('Journal Entries'!$L:$L,'Journal Entries'!$K:$K,$C54,'Journal Entries'!$C:$C,"&lt;="&amp;AF$8,'Journal Entries'!$C:$C,"&gt;"&amp;AE$8)</f>
        <v>0</v>
      </c>
      <c r="AG54" s="43">
        <f>SUMIFS('Journal Entries'!$L:$L,'Journal Entries'!$K:$K,$C54,'Journal Entries'!$C:$C,"&lt;="&amp;AG$8,'Journal Entries'!$C:$C,"&gt;"&amp;AF$8)</f>
        <v>0</v>
      </c>
      <c r="AH54" s="43">
        <f>SUMIFS('Journal Entries'!$L:$L,'Journal Entries'!$K:$K,$C54,'Journal Entries'!$C:$C,"&lt;="&amp;AH$8,'Journal Entries'!$C:$C,"&gt;"&amp;AG$8)</f>
        <v>0</v>
      </c>
      <c r="AI54" s="43">
        <f>SUMIFS('Journal Entries'!$L:$L,'Journal Entries'!$K:$K,$C54,'Journal Entries'!$C:$C,"&lt;="&amp;AI$8,'Journal Entries'!$C:$C,"&gt;"&amp;AH$8)</f>
        <v>0</v>
      </c>
      <c r="AJ54" s="43">
        <f>SUMIFS('Journal Entries'!$L:$L,'Journal Entries'!$K:$K,$C54,'Journal Entries'!$C:$C,"&lt;="&amp;AJ$8,'Journal Entries'!$C:$C,"&gt;"&amp;AI$8)</f>
        <v>0</v>
      </c>
      <c r="AK54" s="43">
        <f>SUMIFS('Journal Entries'!$L:$L,'Journal Entries'!$K:$K,$C54,'Journal Entries'!$C:$C,"&lt;="&amp;AK$8,'Journal Entries'!$C:$C,"&gt;"&amp;AJ$8)</f>
        <v>0</v>
      </c>
      <c r="AL54" s="43">
        <f>SUMIFS('Journal Entries'!$L:$L,'Journal Entries'!$K:$K,$C54,'Journal Entries'!$C:$C,"&lt;="&amp;AL$8,'Journal Entries'!$C:$C,"&gt;"&amp;AK$8)</f>
        <v>0</v>
      </c>
      <c r="AM54" s="43">
        <f>SUMIFS('Journal Entries'!$L:$L,'Journal Entries'!$K:$K,$C54,'Journal Entries'!$C:$C,"&lt;="&amp;AM$8,'Journal Entries'!$C:$C,"&gt;"&amp;AL$8)</f>
        <v>0</v>
      </c>
      <c r="AN54" s="43">
        <f>SUMIFS('Journal Entries'!$L:$L,'Journal Entries'!$K:$K,$C54,'Journal Entries'!$C:$C,"&lt;="&amp;AN$8,'Journal Entries'!$C:$C,"&gt;"&amp;AM$8)</f>
        <v>0</v>
      </c>
      <c r="AO54" s="43">
        <f>SUMIFS('Journal Entries'!$L:$L,'Journal Entries'!$K:$K,$C54,'Journal Entries'!$C:$C,"&lt;="&amp;AO$8,'Journal Entries'!$C:$C,"&gt;"&amp;AN$8)</f>
        <v>0</v>
      </c>
      <c r="AP54" s="43">
        <f>SUMIFS('Journal Entries'!$L:$L,'Journal Entries'!$K:$K,$C54,'Journal Entries'!$C:$C,"&lt;="&amp;AP$8,'Journal Entries'!$C:$C,"&gt;"&amp;AO$8)</f>
        <v>0</v>
      </c>
      <c r="AQ54" s="43">
        <f>SUMIFS('Journal Entries'!$L:$L,'Journal Entries'!$K:$K,$C54,'Journal Entries'!$C:$C,"&lt;="&amp;AQ$8,'Journal Entries'!$C:$C,"&gt;"&amp;AP$8)</f>
        <v>0</v>
      </c>
      <c r="AR54" s="43">
        <f>SUMIFS('Journal Entries'!$L:$L,'Journal Entries'!$K:$K,$C54,'Journal Entries'!$C:$C,"&lt;="&amp;AR$8,'Journal Entries'!$C:$C,"&gt;"&amp;AQ$8)</f>
        <v>0</v>
      </c>
      <c r="AS54" s="43">
        <f>SUMIFS('Journal Entries'!$L:$L,'Journal Entries'!$K:$K,$C54,'Journal Entries'!$C:$C,"&lt;="&amp;AS$8,'Journal Entries'!$C:$C,"&gt;"&amp;AR$8)</f>
        <v>0</v>
      </c>
      <c r="AT54" s="43">
        <f>SUMIFS('Journal Entries'!$L:$L,'Journal Entries'!$K:$K,$C54,'Journal Entries'!$C:$C,"&lt;="&amp;AT$8,'Journal Entries'!$C:$C,"&gt;"&amp;AS$8)</f>
        <v>0</v>
      </c>
      <c r="AU54" s="43">
        <f>SUMIFS('Journal Entries'!$L:$L,'Journal Entries'!$K:$K,$C54,'Journal Entries'!$C:$C,"&lt;="&amp;AU$8,'Journal Entries'!$C:$C,"&gt;"&amp;AT$8)</f>
        <v>0</v>
      </c>
      <c r="AV54" s="43">
        <f>SUMIFS('Journal Entries'!$L:$L,'Journal Entries'!$K:$K,$C54,'Journal Entries'!$C:$C,"&lt;="&amp;AV$8,'Journal Entries'!$C:$C,"&gt;"&amp;AU$8)</f>
        <v>0</v>
      </c>
      <c r="AW54" s="43">
        <f>SUMIFS('Journal Entries'!$L:$L,'Journal Entries'!$K:$K,$C54,'Journal Entries'!$C:$C,"&lt;="&amp;AW$8,'Journal Entries'!$C:$C,"&gt;"&amp;AV$8)</f>
        <v>0</v>
      </c>
      <c r="AX54" s="43">
        <f>SUMIFS('Journal Entries'!$L:$L,'Journal Entries'!$K:$K,$C54,'Journal Entries'!$C:$C,"&lt;="&amp;AX$8,'Journal Entries'!$C:$C,"&gt;"&amp;AW$8)</f>
        <v>0</v>
      </c>
      <c r="AY54" s="43">
        <f>SUMIFS('Journal Entries'!$L:$L,'Journal Entries'!$K:$K,$C54,'Journal Entries'!$C:$C,"&lt;="&amp;AY$8,'Journal Entries'!$C:$C,"&gt;"&amp;AX$8)</f>
        <v>0</v>
      </c>
      <c r="AZ54" s="43">
        <f>SUMIFS('Journal Entries'!$L:$L,'Journal Entries'!$K:$K,$C54,'Journal Entries'!$C:$C,"&lt;="&amp;AZ$8,'Journal Entries'!$C:$C,"&gt;"&amp;AY$8)</f>
        <v>0</v>
      </c>
      <c r="BA54" s="43">
        <f>SUMIFS('Journal Entries'!$L:$L,'Journal Entries'!$K:$K,$C54,'Journal Entries'!$C:$C,"&lt;="&amp;BA$8,'Journal Entries'!$C:$C,"&gt;"&amp;AZ$8)</f>
        <v>0</v>
      </c>
      <c r="BB54" s="43">
        <f>SUMIFS('Journal Entries'!$L:$L,'Journal Entries'!$K:$K,$C54,'Journal Entries'!$C:$C,"&lt;="&amp;BB$8,'Journal Entries'!$C:$C,"&gt;"&amp;BA$8)</f>
        <v>0</v>
      </c>
      <c r="BC54" s="43">
        <f>SUMIFS('Journal Entries'!$L:$L,'Journal Entries'!$K:$K,$C54,'Journal Entries'!$C:$C,"&lt;="&amp;BC$8,'Journal Entries'!$C:$C,"&gt;"&amp;BB$8)</f>
        <v>0</v>
      </c>
      <c r="BD54" s="43">
        <f>SUMIFS('Journal Entries'!$L:$L,'Journal Entries'!$K:$K,$C54,'Journal Entries'!$C:$C,"&lt;="&amp;BD$8,'Journal Entries'!$C:$C,"&gt;"&amp;BC$8)</f>
        <v>0</v>
      </c>
      <c r="BE54" s="43">
        <f>SUMIFS('Journal Entries'!$L:$L,'Journal Entries'!$K:$K,$C54,'Journal Entries'!$C:$C,"&lt;="&amp;BE$8,'Journal Entries'!$C:$C,"&gt;"&amp;BD$8)</f>
        <v>0</v>
      </c>
      <c r="BF54" s="43">
        <f>SUMIFS('Journal Entries'!$L:$L,'Journal Entries'!$K:$K,$C54,'Journal Entries'!$C:$C,"&lt;="&amp;BF$8,'Journal Entries'!$C:$C,"&gt;"&amp;BE$8)</f>
        <v>0</v>
      </c>
      <c r="BG54" s="43">
        <f>SUMIFS('Journal Entries'!$L:$L,'Journal Entries'!$K:$K,$C54,'Journal Entries'!$C:$C,"&lt;="&amp;BG$8,'Journal Entries'!$C:$C,"&gt;"&amp;BF$8)</f>
        <v>0</v>
      </c>
      <c r="BH54" s="43">
        <f>SUMIFS('Journal Entries'!$L:$L,'Journal Entries'!$K:$K,$C54,'Journal Entries'!$C:$C,"&lt;="&amp;BH$8,'Journal Entries'!$C:$C,"&gt;"&amp;BG$8)</f>
        <v>0</v>
      </c>
      <c r="BI54" s="43">
        <f>SUMIFS('Journal Entries'!$L:$L,'Journal Entries'!$K:$K,$C54,'Journal Entries'!$C:$C,"&lt;="&amp;BI$8,'Journal Entries'!$C:$C,"&gt;"&amp;BH$8)</f>
        <v>0</v>
      </c>
      <c r="BJ54" s="43">
        <f>SUMIFS('Journal Entries'!$L:$L,'Journal Entries'!$K:$K,$C54,'Journal Entries'!$C:$C,"&lt;="&amp;BJ$8,'Journal Entries'!$C:$C,"&gt;"&amp;BI$8)</f>
        <v>0</v>
      </c>
      <c r="BK54" s="43">
        <f>SUMIFS('Journal Entries'!$L:$L,'Journal Entries'!$K:$K,$C54,'Journal Entries'!$C:$C,"&lt;="&amp;BK$8,'Journal Entries'!$C:$C,"&gt;"&amp;BJ$8)</f>
        <v>0</v>
      </c>
      <c r="BL54" s="43">
        <f>SUMIFS('Journal Entries'!$L:$L,'Journal Entries'!$K:$K,$C54,'Journal Entries'!$C:$C,"&lt;="&amp;BL$8,'Journal Entries'!$C:$C,"&gt;"&amp;BK$8)</f>
        <v>0</v>
      </c>
    </row>
    <row r="55" spans="2:64" x14ac:dyDescent="0.25">
      <c r="B55" s="10">
        <v>5030</v>
      </c>
      <c r="C55" s="10" t="str">
        <f>VLOOKUP(B55,'Chart of Accounts'!$B$3:$C$95,2,0)</f>
        <v>Legal fee expense</v>
      </c>
      <c r="D55" s="525">
        <f t="shared" si="2"/>
        <v>20000</v>
      </c>
      <c r="E55" s="43">
        <f>SUMIFS('Journal Entries'!$L:$L,'Journal Entries'!$K:$K,$C55,'Journal Entries'!$C:$C,"&lt;="&amp;E$8,'Journal Entries'!$C:$C,"&gt;"&amp;D$8)</f>
        <v>1666.6666666666667</v>
      </c>
      <c r="F55" s="43">
        <f>SUMIFS('Journal Entries'!$L:$L,'Journal Entries'!$K:$K,$C55,'Journal Entries'!$C:$C,"&lt;="&amp;F$8,'Journal Entries'!$C:$C,"&gt;"&amp;E$8)</f>
        <v>1666.6666666666667</v>
      </c>
      <c r="G55" s="43">
        <f>SUMIFS('Journal Entries'!$L:$L,'Journal Entries'!$K:$K,$C55,'Journal Entries'!$C:$C,"&lt;="&amp;G$8,'Journal Entries'!$C:$C,"&gt;"&amp;F$8)</f>
        <v>1666.6666666666667</v>
      </c>
      <c r="H55" s="43">
        <f>SUMIFS('Journal Entries'!$L:$L,'Journal Entries'!$K:$K,$C55,'Journal Entries'!$C:$C,"&lt;="&amp;H$8,'Journal Entries'!$C:$C,"&gt;"&amp;G$8)</f>
        <v>1666.6666666666667</v>
      </c>
      <c r="I55" s="43">
        <f>SUMIFS('Journal Entries'!$L:$L,'Journal Entries'!$K:$K,$C55,'Journal Entries'!$C:$C,"&lt;="&amp;I$8,'Journal Entries'!$C:$C,"&gt;"&amp;H$8)</f>
        <v>1666.6666666666667</v>
      </c>
      <c r="J55" s="43">
        <f>SUMIFS('Journal Entries'!$L:$L,'Journal Entries'!$K:$K,$C55,'Journal Entries'!$C:$C,"&lt;="&amp;J$8,'Journal Entries'!$C:$C,"&gt;"&amp;I$8)</f>
        <v>1666.6666666666667</v>
      </c>
      <c r="K55" s="43">
        <f>SUMIFS('Journal Entries'!$L:$L,'Journal Entries'!$K:$K,$C55,'Journal Entries'!$C:$C,"&lt;="&amp;K$8,'Journal Entries'!$C:$C,"&gt;"&amp;J$8)</f>
        <v>1666.6666666666667</v>
      </c>
      <c r="L55" s="43">
        <f>SUMIFS('Journal Entries'!$L:$L,'Journal Entries'!$K:$K,$C55,'Journal Entries'!$C:$C,"&lt;="&amp;L$8,'Journal Entries'!$C:$C,"&gt;"&amp;K$8)</f>
        <v>1666.6666666666667</v>
      </c>
      <c r="M55" s="43">
        <f>SUMIFS('Journal Entries'!$L:$L,'Journal Entries'!$K:$K,$C55,'Journal Entries'!$C:$C,"&lt;="&amp;M$8,'Journal Entries'!$C:$C,"&gt;"&amp;L$8)</f>
        <v>1666.6666666666667</v>
      </c>
      <c r="N55" s="43">
        <f>SUMIFS('Journal Entries'!$L:$L,'Journal Entries'!$K:$K,$C55,'Journal Entries'!$C:$C,"&lt;="&amp;N$8,'Journal Entries'!$C:$C,"&gt;"&amp;M$8)</f>
        <v>1666.6666666666667</v>
      </c>
      <c r="O55" s="43">
        <f>SUMIFS('Journal Entries'!$L:$L,'Journal Entries'!$K:$K,$C55,'Journal Entries'!$C:$C,"&lt;="&amp;O$8,'Journal Entries'!$C:$C,"&gt;"&amp;N$8)</f>
        <v>1666.6666666666667</v>
      </c>
      <c r="P55" s="43">
        <f>SUMIFS('Journal Entries'!$L:$L,'Journal Entries'!$K:$K,$C55,'Journal Entries'!$C:$C,"&lt;="&amp;P$8,'Journal Entries'!$C:$C,"&gt;"&amp;O$8)</f>
        <v>1666.6666666666667</v>
      </c>
      <c r="Q55" s="43">
        <f>SUMIFS('Journal Entries'!$L:$L,'Journal Entries'!$K:$K,$C55,'Journal Entries'!$C:$C,"&lt;="&amp;Q$8,'Journal Entries'!$C:$C,"&gt;"&amp;P$8)</f>
        <v>0</v>
      </c>
      <c r="R55" s="43">
        <f>SUMIFS('Journal Entries'!$L:$L,'Journal Entries'!$K:$K,$C55,'Journal Entries'!$C:$C,"&lt;="&amp;R$8,'Journal Entries'!$C:$C,"&gt;"&amp;Q$8)</f>
        <v>0</v>
      </c>
      <c r="S55" s="43">
        <f>SUMIFS('Journal Entries'!$L:$L,'Journal Entries'!$K:$K,$C55,'Journal Entries'!$C:$C,"&lt;="&amp;S$8,'Journal Entries'!$C:$C,"&gt;"&amp;R$8)</f>
        <v>0</v>
      </c>
      <c r="T55" s="43">
        <f>SUMIFS('Journal Entries'!$L:$L,'Journal Entries'!$K:$K,$C55,'Journal Entries'!$C:$C,"&lt;="&amp;T$8,'Journal Entries'!$C:$C,"&gt;"&amp;S$8)</f>
        <v>0</v>
      </c>
      <c r="U55" s="43">
        <f>SUMIFS('Journal Entries'!$L:$L,'Journal Entries'!$K:$K,$C55,'Journal Entries'!$C:$C,"&lt;="&amp;U$8,'Journal Entries'!$C:$C,"&gt;"&amp;T$8)</f>
        <v>0</v>
      </c>
      <c r="V55" s="43">
        <f>SUMIFS('Journal Entries'!$L:$L,'Journal Entries'!$K:$K,$C55,'Journal Entries'!$C:$C,"&lt;="&amp;V$8,'Journal Entries'!$C:$C,"&gt;"&amp;U$8)</f>
        <v>0</v>
      </c>
      <c r="W55" s="43">
        <f>SUMIFS('Journal Entries'!$L:$L,'Journal Entries'!$K:$K,$C55,'Journal Entries'!$C:$C,"&lt;="&amp;W$8,'Journal Entries'!$C:$C,"&gt;"&amp;V$8)</f>
        <v>0</v>
      </c>
      <c r="X55" s="43">
        <f>SUMIFS('Journal Entries'!$L:$L,'Journal Entries'!$K:$K,$C55,'Journal Entries'!$C:$C,"&lt;="&amp;X$8,'Journal Entries'!$C:$C,"&gt;"&amp;W$8)</f>
        <v>0</v>
      </c>
      <c r="Y55" s="43">
        <f>SUMIFS('Journal Entries'!$L:$L,'Journal Entries'!$K:$K,$C55,'Journal Entries'!$C:$C,"&lt;="&amp;Y$8,'Journal Entries'!$C:$C,"&gt;"&amp;X$8)</f>
        <v>0</v>
      </c>
      <c r="Z55" s="43">
        <f>SUMIFS('Journal Entries'!$L:$L,'Journal Entries'!$K:$K,$C55,'Journal Entries'!$C:$C,"&lt;="&amp;Z$8,'Journal Entries'!$C:$C,"&gt;"&amp;Y$8)</f>
        <v>0</v>
      </c>
      <c r="AA55" s="43">
        <f>SUMIFS('Journal Entries'!$L:$L,'Journal Entries'!$K:$K,$C55,'Journal Entries'!$C:$C,"&lt;="&amp;AA$8,'Journal Entries'!$C:$C,"&gt;"&amp;Z$8)</f>
        <v>0</v>
      </c>
      <c r="AB55" s="43">
        <f>SUMIFS('Journal Entries'!$L:$L,'Journal Entries'!$K:$K,$C55,'Journal Entries'!$C:$C,"&lt;="&amp;AB$8,'Journal Entries'!$C:$C,"&gt;"&amp;AA$8)</f>
        <v>0</v>
      </c>
      <c r="AC55" s="43">
        <f>SUMIFS('Journal Entries'!$L:$L,'Journal Entries'!$K:$K,$C55,'Journal Entries'!$C:$C,"&lt;="&amp;AC$8,'Journal Entries'!$C:$C,"&gt;"&amp;AB$8)</f>
        <v>0</v>
      </c>
      <c r="AD55" s="43">
        <f>SUMIFS('Journal Entries'!$L:$L,'Journal Entries'!$K:$K,$C55,'Journal Entries'!$C:$C,"&lt;="&amp;AD$8,'Journal Entries'!$C:$C,"&gt;"&amp;AC$8)</f>
        <v>0</v>
      </c>
      <c r="AE55" s="43">
        <f>SUMIFS('Journal Entries'!$L:$L,'Journal Entries'!$K:$K,$C55,'Journal Entries'!$C:$C,"&lt;="&amp;AE$8,'Journal Entries'!$C:$C,"&gt;"&amp;AD$8)</f>
        <v>0</v>
      </c>
      <c r="AF55" s="43">
        <f>SUMIFS('Journal Entries'!$L:$L,'Journal Entries'!$K:$K,$C55,'Journal Entries'!$C:$C,"&lt;="&amp;AF$8,'Journal Entries'!$C:$C,"&gt;"&amp;AE$8)</f>
        <v>0</v>
      </c>
      <c r="AG55" s="43">
        <f>SUMIFS('Journal Entries'!$L:$L,'Journal Entries'!$K:$K,$C55,'Journal Entries'!$C:$C,"&lt;="&amp;AG$8,'Journal Entries'!$C:$C,"&gt;"&amp;AF$8)</f>
        <v>0</v>
      </c>
      <c r="AH55" s="43">
        <f>SUMIFS('Journal Entries'!$L:$L,'Journal Entries'!$K:$K,$C55,'Journal Entries'!$C:$C,"&lt;="&amp;AH$8,'Journal Entries'!$C:$C,"&gt;"&amp;AG$8)</f>
        <v>0</v>
      </c>
      <c r="AI55" s="43">
        <f>SUMIFS('Journal Entries'!$L:$L,'Journal Entries'!$K:$K,$C55,'Journal Entries'!$C:$C,"&lt;="&amp;AI$8,'Journal Entries'!$C:$C,"&gt;"&amp;AH$8)</f>
        <v>0</v>
      </c>
      <c r="AJ55" s="43">
        <f>SUMIFS('Journal Entries'!$L:$L,'Journal Entries'!$K:$K,$C55,'Journal Entries'!$C:$C,"&lt;="&amp;AJ$8,'Journal Entries'!$C:$C,"&gt;"&amp;AI$8)</f>
        <v>0</v>
      </c>
      <c r="AK55" s="43">
        <f>SUMIFS('Journal Entries'!$L:$L,'Journal Entries'!$K:$K,$C55,'Journal Entries'!$C:$C,"&lt;="&amp;AK$8,'Journal Entries'!$C:$C,"&gt;"&amp;AJ$8)</f>
        <v>0</v>
      </c>
      <c r="AL55" s="43">
        <f>SUMIFS('Journal Entries'!$L:$L,'Journal Entries'!$K:$K,$C55,'Journal Entries'!$C:$C,"&lt;="&amp;AL$8,'Journal Entries'!$C:$C,"&gt;"&amp;AK$8)</f>
        <v>0</v>
      </c>
      <c r="AM55" s="43">
        <f>SUMIFS('Journal Entries'!$L:$L,'Journal Entries'!$K:$K,$C55,'Journal Entries'!$C:$C,"&lt;="&amp;AM$8,'Journal Entries'!$C:$C,"&gt;"&amp;AL$8)</f>
        <v>0</v>
      </c>
      <c r="AN55" s="43">
        <f>SUMIFS('Journal Entries'!$L:$L,'Journal Entries'!$K:$K,$C55,'Journal Entries'!$C:$C,"&lt;="&amp;AN$8,'Journal Entries'!$C:$C,"&gt;"&amp;AM$8)</f>
        <v>0</v>
      </c>
      <c r="AO55" s="43">
        <f>SUMIFS('Journal Entries'!$L:$L,'Journal Entries'!$K:$K,$C55,'Journal Entries'!$C:$C,"&lt;="&amp;AO$8,'Journal Entries'!$C:$C,"&gt;"&amp;AN$8)</f>
        <v>0</v>
      </c>
      <c r="AP55" s="43">
        <f>SUMIFS('Journal Entries'!$L:$L,'Journal Entries'!$K:$K,$C55,'Journal Entries'!$C:$C,"&lt;="&amp;AP$8,'Journal Entries'!$C:$C,"&gt;"&amp;AO$8)</f>
        <v>0</v>
      </c>
      <c r="AQ55" s="43">
        <f>SUMIFS('Journal Entries'!$L:$L,'Journal Entries'!$K:$K,$C55,'Journal Entries'!$C:$C,"&lt;="&amp;AQ$8,'Journal Entries'!$C:$C,"&gt;"&amp;AP$8)</f>
        <v>0</v>
      </c>
      <c r="AR55" s="43">
        <f>SUMIFS('Journal Entries'!$L:$L,'Journal Entries'!$K:$K,$C55,'Journal Entries'!$C:$C,"&lt;="&amp;AR$8,'Journal Entries'!$C:$C,"&gt;"&amp;AQ$8)</f>
        <v>0</v>
      </c>
      <c r="AS55" s="43">
        <f>SUMIFS('Journal Entries'!$L:$L,'Journal Entries'!$K:$K,$C55,'Journal Entries'!$C:$C,"&lt;="&amp;AS$8,'Journal Entries'!$C:$C,"&gt;"&amp;AR$8)</f>
        <v>0</v>
      </c>
      <c r="AT55" s="43">
        <f>SUMIFS('Journal Entries'!$L:$L,'Journal Entries'!$K:$K,$C55,'Journal Entries'!$C:$C,"&lt;="&amp;AT$8,'Journal Entries'!$C:$C,"&gt;"&amp;AS$8)</f>
        <v>0</v>
      </c>
      <c r="AU55" s="43">
        <f>SUMIFS('Journal Entries'!$L:$L,'Journal Entries'!$K:$K,$C55,'Journal Entries'!$C:$C,"&lt;="&amp;AU$8,'Journal Entries'!$C:$C,"&gt;"&amp;AT$8)</f>
        <v>0</v>
      </c>
      <c r="AV55" s="43">
        <f>SUMIFS('Journal Entries'!$L:$L,'Journal Entries'!$K:$K,$C55,'Journal Entries'!$C:$C,"&lt;="&amp;AV$8,'Journal Entries'!$C:$C,"&gt;"&amp;AU$8)</f>
        <v>0</v>
      </c>
      <c r="AW55" s="43">
        <f>SUMIFS('Journal Entries'!$L:$L,'Journal Entries'!$K:$K,$C55,'Journal Entries'!$C:$C,"&lt;="&amp;AW$8,'Journal Entries'!$C:$C,"&gt;"&amp;AV$8)</f>
        <v>0</v>
      </c>
      <c r="AX55" s="43">
        <f>SUMIFS('Journal Entries'!$L:$L,'Journal Entries'!$K:$K,$C55,'Journal Entries'!$C:$C,"&lt;="&amp;AX$8,'Journal Entries'!$C:$C,"&gt;"&amp;AW$8)</f>
        <v>0</v>
      </c>
      <c r="AY55" s="43">
        <f>SUMIFS('Journal Entries'!$L:$L,'Journal Entries'!$K:$K,$C55,'Journal Entries'!$C:$C,"&lt;="&amp;AY$8,'Journal Entries'!$C:$C,"&gt;"&amp;AX$8)</f>
        <v>0</v>
      </c>
      <c r="AZ55" s="43">
        <f>SUMIFS('Journal Entries'!$L:$L,'Journal Entries'!$K:$K,$C55,'Journal Entries'!$C:$C,"&lt;="&amp;AZ$8,'Journal Entries'!$C:$C,"&gt;"&amp;AY$8)</f>
        <v>0</v>
      </c>
      <c r="BA55" s="43">
        <f>SUMIFS('Journal Entries'!$L:$L,'Journal Entries'!$K:$K,$C55,'Journal Entries'!$C:$C,"&lt;="&amp;BA$8,'Journal Entries'!$C:$C,"&gt;"&amp;AZ$8)</f>
        <v>0</v>
      </c>
      <c r="BB55" s="43">
        <f>SUMIFS('Journal Entries'!$L:$L,'Journal Entries'!$K:$K,$C55,'Journal Entries'!$C:$C,"&lt;="&amp;BB$8,'Journal Entries'!$C:$C,"&gt;"&amp;BA$8)</f>
        <v>0</v>
      </c>
      <c r="BC55" s="43">
        <f>SUMIFS('Journal Entries'!$L:$L,'Journal Entries'!$K:$K,$C55,'Journal Entries'!$C:$C,"&lt;="&amp;BC$8,'Journal Entries'!$C:$C,"&gt;"&amp;BB$8)</f>
        <v>0</v>
      </c>
      <c r="BD55" s="43">
        <f>SUMIFS('Journal Entries'!$L:$L,'Journal Entries'!$K:$K,$C55,'Journal Entries'!$C:$C,"&lt;="&amp;BD$8,'Journal Entries'!$C:$C,"&gt;"&amp;BC$8)</f>
        <v>0</v>
      </c>
      <c r="BE55" s="43">
        <f>SUMIFS('Journal Entries'!$L:$L,'Journal Entries'!$K:$K,$C55,'Journal Entries'!$C:$C,"&lt;="&amp;BE$8,'Journal Entries'!$C:$C,"&gt;"&amp;BD$8)</f>
        <v>0</v>
      </c>
      <c r="BF55" s="43">
        <f>SUMIFS('Journal Entries'!$L:$L,'Journal Entries'!$K:$K,$C55,'Journal Entries'!$C:$C,"&lt;="&amp;BF$8,'Journal Entries'!$C:$C,"&gt;"&amp;BE$8)</f>
        <v>0</v>
      </c>
      <c r="BG55" s="43">
        <f>SUMIFS('Journal Entries'!$L:$L,'Journal Entries'!$K:$K,$C55,'Journal Entries'!$C:$C,"&lt;="&amp;BG$8,'Journal Entries'!$C:$C,"&gt;"&amp;BF$8)</f>
        <v>0</v>
      </c>
      <c r="BH55" s="43">
        <f>SUMIFS('Journal Entries'!$L:$L,'Journal Entries'!$K:$K,$C55,'Journal Entries'!$C:$C,"&lt;="&amp;BH$8,'Journal Entries'!$C:$C,"&gt;"&amp;BG$8)</f>
        <v>0</v>
      </c>
      <c r="BI55" s="43">
        <f>SUMIFS('Journal Entries'!$L:$L,'Journal Entries'!$K:$K,$C55,'Journal Entries'!$C:$C,"&lt;="&amp;BI$8,'Journal Entries'!$C:$C,"&gt;"&amp;BH$8)</f>
        <v>0</v>
      </c>
      <c r="BJ55" s="43">
        <f>SUMIFS('Journal Entries'!$L:$L,'Journal Entries'!$K:$K,$C55,'Journal Entries'!$C:$C,"&lt;="&amp;BJ$8,'Journal Entries'!$C:$C,"&gt;"&amp;BI$8)</f>
        <v>0</v>
      </c>
      <c r="BK55" s="43">
        <f>SUMIFS('Journal Entries'!$L:$L,'Journal Entries'!$K:$K,$C55,'Journal Entries'!$C:$C,"&lt;="&amp;BK$8,'Journal Entries'!$C:$C,"&gt;"&amp;BJ$8)</f>
        <v>0</v>
      </c>
      <c r="BL55" s="43">
        <f>SUMIFS('Journal Entries'!$L:$L,'Journal Entries'!$K:$K,$C55,'Journal Entries'!$C:$C,"&lt;="&amp;BL$8,'Journal Entries'!$C:$C,"&gt;"&amp;BK$8)</f>
        <v>0</v>
      </c>
    </row>
    <row r="56" spans="2:64" x14ac:dyDescent="0.25">
      <c r="B56" s="10">
        <v>5040</v>
      </c>
      <c r="C56" s="10" t="str">
        <f>VLOOKUP(B56,'Chart of Accounts'!$B$3:$C$95,2,0)</f>
        <v>Fund administration expense</v>
      </c>
      <c r="D56" s="525">
        <f t="shared" si="2"/>
        <v>60000</v>
      </c>
      <c r="E56" s="43">
        <f>SUMIFS('Journal Entries'!$L:$L,'Journal Entries'!$K:$K,$C56,'Journal Entries'!$C:$C,"&lt;="&amp;E$8,'Journal Entries'!$C:$C,"&gt;"&amp;D$8)</f>
        <v>5000</v>
      </c>
      <c r="F56" s="43">
        <f>SUMIFS('Journal Entries'!$L:$L,'Journal Entries'!$K:$K,$C56,'Journal Entries'!$C:$C,"&lt;="&amp;F$8,'Journal Entries'!$C:$C,"&gt;"&amp;E$8)</f>
        <v>5000</v>
      </c>
      <c r="G56" s="43">
        <f>SUMIFS('Journal Entries'!$L:$L,'Journal Entries'!$K:$K,$C56,'Journal Entries'!$C:$C,"&lt;="&amp;G$8,'Journal Entries'!$C:$C,"&gt;"&amp;F$8)</f>
        <v>5000</v>
      </c>
      <c r="H56" s="43">
        <f>SUMIFS('Journal Entries'!$L:$L,'Journal Entries'!$K:$K,$C56,'Journal Entries'!$C:$C,"&lt;="&amp;H$8,'Journal Entries'!$C:$C,"&gt;"&amp;G$8)</f>
        <v>5000</v>
      </c>
      <c r="I56" s="43">
        <f>SUMIFS('Journal Entries'!$L:$L,'Journal Entries'!$K:$K,$C56,'Journal Entries'!$C:$C,"&lt;="&amp;I$8,'Journal Entries'!$C:$C,"&gt;"&amp;H$8)</f>
        <v>5000</v>
      </c>
      <c r="J56" s="43">
        <f>SUMIFS('Journal Entries'!$L:$L,'Journal Entries'!$K:$K,$C56,'Journal Entries'!$C:$C,"&lt;="&amp;J$8,'Journal Entries'!$C:$C,"&gt;"&amp;I$8)</f>
        <v>5000</v>
      </c>
      <c r="K56" s="43">
        <f>SUMIFS('Journal Entries'!$L:$L,'Journal Entries'!$K:$K,$C56,'Journal Entries'!$C:$C,"&lt;="&amp;K$8,'Journal Entries'!$C:$C,"&gt;"&amp;J$8)</f>
        <v>5000</v>
      </c>
      <c r="L56" s="43">
        <f>SUMIFS('Journal Entries'!$L:$L,'Journal Entries'!$K:$K,$C56,'Journal Entries'!$C:$C,"&lt;="&amp;L$8,'Journal Entries'!$C:$C,"&gt;"&amp;K$8)</f>
        <v>5000</v>
      </c>
      <c r="M56" s="43">
        <f>SUMIFS('Journal Entries'!$L:$L,'Journal Entries'!$K:$K,$C56,'Journal Entries'!$C:$C,"&lt;="&amp;M$8,'Journal Entries'!$C:$C,"&gt;"&amp;L$8)</f>
        <v>5000</v>
      </c>
      <c r="N56" s="43">
        <f>SUMIFS('Journal Entries'!$L:$L,'Journal Entries'!$K:$K,$C56,'Journal Entries'!$C:$C,"&lt;="&amp;N$8,'Journal Entries'!$C:$C,"&gt;"&amp;M$8)</f>
        <v>5000</v>
      </c>
      <c r="O56" s="43">
        <f>SUMIFS('Journal Entries'!$L:$L,'Journal Entries'!$K:$K,$C56,'Journal Entries'!$C:$C,"&lt;="&amp;O$8,'Journal Entries'!$C:$C,"&gt;"&amp;N$8)</f>
        <v>5000</v>
      </c>
      <c r="P56" s="43">
        <f>SUMIFS('Journal Entries'!$L:$L,'Journal Entries'!$K:$K,$C56,'Journal Entries'!$C:$C,"&lt;="&amp;P$8,'Journal Entries'!$C:$C,"&gt;"&amp;O$8)</f>
        <v>5000</v>
      </c>
      <c r="Q56" s="43">
        <f>SUMIFS('Journal Entries'!$L:$L,'Journal Entries'!$K:$K,$C56,'Journal Entries'!$C:$C,"&lt;="&amp;Q$8,'Journal Entries'!$C:$C,"&gt;"&amp;P$8)</f>
        <v>0</v>
      </c>
      <c r="R56" s="43">
        <f>SUMIFS('Journal Entries'!$L:$L,'Journal Entries'!$K:$K,$C56,'Journal Entries'!$C:$C,"&lt;="&amp;R$8,'Journal Entries'!$C:$C,"&gt;"&amp;Q$8)</f>
        <v>0</v>
      </c>
      <c r="S56" s="43">
        <f>SUMIFS('Journal Entries'!$L:$L,'Journal Entries'!$K:$K,$C56,'Journal Entries'!$C:$C,"&lt;="&amp;S$8,'Journal Entries'!$C:$C,"&gt;"&amp;R$8)</f>
        <v>0</v>
      </c>
      <c r="T56" s="43">
        <f>SUMIFS('Journal Entries'!$L:$L,'Journal Entries'!$K:$K,$C56,'Journal Entries'!$C:$C,"&lt;="&amp;T$8,'Journal Entries'!$C:$C,"&gt;"&amp;S$8)</f>
        <v>0</v>
      </c>
      <c r="U56" s="43">
        <f>SUMIFS('Journal Entries'!$L:$L,'Journal Entries'!$K:$K,$C56,'Journal Entries'!$C:$C,"&lt;="&amp;U$8,'Journal Entries'!$C:$C,"&gt;"&amp;T$8)</f>
        <v>0</v>
      </c>
      <c r="V56" s="43">
        <f>SUMIFS('Journal Entries'!$L:$L,'Journal Entries'!$K:$K,$C56,'Journal Entries'!$C:$C,"&lt;="&amp;V$8,'Journal Entries'!$C:$C,"&gt;"&amp;U$8)</f>
        <v>0</v>
      </c>
      <c r="W56" s="43">
        <f>SUMIFS('Journal Entries'!$L:$L,'Journal Entries'!$K:$K,$C56,'Journal Entries'!$C:$C,"&lt;="&amp;W$8,'Journal Entries'!$C:$C,"&gt;"&amp;V$8)</f>
        <v>0</v>
      </c>
      <c r="X56" s="43">
        <f>SUMIFS('Journal Entries'!$L:$L,'Journal Entries'!$K:$K,$C56,'Journal Entries'!$C:$C,"&lt;="&amp;X$8,'Journal Entries'!$C:$C,"&gt;"&amp;W$8)</f>
        <v>0</v>
      </c>
      <c r="Y56" s="43">
        <f>SUMIFS('Journal Entries'!$L:$L,'Journal Entries'!$K:$K,$C56,'Journal Entries'!$C:$C,"&lt;="&amp;Y$8,'Journal Entries'!$C:$C,"&gt;"&amp;X$8)</f>
        <v>0</v>
      </c>
      <c r="Z56" s="43">
        <f>SUMIFS('Journal Entries'!$L:$L,'Journal Entries'!$K:$K,$C56,'Journal Entries'!$C:$C,"&lt;="&amp;Z$8,'Journal Entries'!$C:$C,"&gt;"&amp;Y$8)</f>
        <v>0</v>
      </c>
      <c r="AA56" s="43">
        <f>SUMIFS('Journal Entries'!$L:$L,'Journal Entries'!$K:$K,$C56,'Journal Entries'!$C:$C,"&lt;="&amp;AA$8,'Journal Entries'!$C:$C,"&gt;"&amp;Z$8)</f>
        <v>0</v>
      </c>
      <c r="AB56" s="43">
        <f>SUMIFS('Journal Entries'!$L:$L,'Journal Entries'!$K:$K,$C56,'Journal Entries'!$C:$C,"&lt;="&amp;AB$8,'Journal Entries'!$C:$C,"&gt;"&amp;AA$8)</f>
        <v>0</v>
      </c>
      <c r="AC56" s="43">
        <f>SUMIFS('Journal Entries'!$L:$L,'Journal Entries'!$K:$K,$C56,'Journal Entries'!$C:$C,"&lt;="&amp;AC$8,'Journal Entries'!$C:$C,"&gt;"&amp;AB$8)</f>
        <v>0</v>
      </c>
      <c r="AD56" s="43">
        <f>SUMIFS('Journal Entries'!$L:$L,'Journal Entries'!$K:$K,$C56,'Journal Entries'!$C:$C,"&lt;="&amp;AD$8,'Journal Entries'!$C:$C,"&gt;"&amp;AC$8)</f>
        <v>0</v>
      </c>
      <c r="AE56" s="43">
        <f>SUMIFS('Journal Entries'!$L:$L,'Journal Entries'!$K:$K,$C56,'Journal Entries'!$C:$C,"&lt;="&amp;AE$8,'Journal Entries'!$C:$C,"&gt;"&amp;AD$8)</f>
        <v>0</v>
      </c>
      <c r="AF56" s="43">
        <f>SUMIFS('Journal Entries'!$L:$L,'Journal Entries'!$K:$K,$C56,'Journal Entries'!$C:$C,"&lt;="&amp;AF$8,'Journal Entries'!$C:$C,"&gt;"&amp;AE$8)</f>
        <v>0</v>
      </c>
      <c r="AG56" s="43">
        <f>SUMIFS('Journal Entries'!$L:$L,'Journal Entries'!$K:$K,$C56,'Journal Entries'!$C:$C,"&lt;="&amp;AG$8,'Journal Entries'!$C:$C,"&gt;"&amp;AF$8)</f>
        <v>0</v>
      </c>
      <c r="AH56" s="43">
        <f>SUMIFS('Journal Entries'!$L:$L,'Journal Entries'!$K:$K,$C56,'Journal Entries'!$C:$C,"&lt;="&amp;AH$8,'Journal Entries'!$C:$C,"&gt;"&amp;AG$8)</f>
        <v>0</v>
      </c>
      <c r="AI56" s="43">
        <f>SUMIFS('Journal Entries'!$L:$L,'Journal Entries'!$K:$K,$C56,'Journal Entries'!$C:$C,"&lt;="&amp;AI$8,'Journal Entries'!$C:$C,"&gt;"&amp;AH$8)</f>
        <v>0</v>
      </c>
      <c r="AJ56" s="43">
        <f>SUMIFS('Journal Entries'!$L:$L,'Journal Entries'!$K:$K,$C56,'Journal Entries'!$C:$C,"&lt;="&amp;AJ$8,'Journal Entries'!$C:$C,"&gt;"&amp;AI$8)</f>
        <v>0</v>
      </c>
      <c r="AK56" s="43">
        <f>SUMIFS('Journal Entries'!$L:$L,'Journal Entries'!$K:$K,$C56,'Journal Entries'!$C:$C,"&lt;="&amp;AK$8,'Journal Entries'!$C:$C,"&gt;"&amp;AJ$8)</f>
        <v>0</v>
      </c>
      <c r="AL56" s="43">
        <f>SUMIFS('Journal Entries'!$L:$L,'Journal Entries'!$K:$K,$C56,'Journal Entries'!$C:$C,"&lt;="&amp;AL$8,'Journal Entries'!$C:$C,"&gt;"&amp;AK$8)</f>
        <v>0</v>
      </c>
      <c r="AM56" s="43">
        <f>SUMIFS('Journal Entries'!$L:$L,'Journal Entries'!$K:$K,$C56,'Journal Entries'!$C:$C,"&lt;="&amp;AM$8,'Journal Entries'!$C:$C,"&gt;"&amp;AL$8)</f>
        <v>0</v>
      </c>
      <c r="AN56" s="43">
        <f>SUMIFS('Journal Entries'!$L:$L,'Journal Entries'!$K:$K,$C56,'Journal Entries'!$C:$C,"&lt;="&amp;AN$8,'Journal Entries'!$C:$C,"&gt;"&amp;AM$8)</f>
        <v>0</v>
      </c>
      <c r="AO56" s="43">
        <f>SUMIFS('Journal Entries'!$L:$L,'Journal Entries'!$K:$K,$C56,'Journal Entries'!$C:$C,"&lt;="&amp;AO$8,'Journal Entries'!$C:$C,"&gt;"&amp;AN$8)</f>
        <v>0</v>
      </c>
      <c r="AP56" s="43">
        <f>SUMIFS('Journal Entries'!$L:$L,'Journal Entries'!$K:$K,$C56,'Journal Entries'!$C:$C,"&lt;="&amp;AP$8,'Journal Entries'!$C:$C,"&gt;"&amp;AO$8)</f>
        <v>0</v>
      </c>
      <c r="AQ56" s="43">
        <f>SUMIFS('Journal Entries'!$L:$L,'Journal Entries'!$K:$K,$C56,'Journal Entries'!$C:$C,"&lt;="&amp;AQ$8,'Journal Entries'!$C:$C,"&gt;"&amp;AP$8)</f>
        <v>0</v>
      </c>
      <c r="AR56" s="43">
        <f>SUMIFS('Journal Entries'!$L:$L,'Journal Entries'!$K:$K,$C56,'Journal Entries'!$C:$C,"&lt;="&amp;AR$8,'Journal Entries'!$C:$C,"&gt;"&amp;AQ$8)</f>
        <v>0</v>
      </c>
      <c r="AS56" s="43">
        <f>SUMIFS('Journal Entries'!$L:$L,'Journal Entries'!$K:$K,$C56,'Journal Entries'!$C:$C,"&lt;="&amp;AS$8,'Journal Entries'!$C:$C,"&gt;"&amp;AR$8)</f>
        <v>0</v>
      </c>
      <c r="AT56" s="43">
        <f>SUMIFS('Journal Entries'!$L:$L,'Journal Entries'!$K:$K,$C56,'Journal Entries'!$C:$C,"&lt;="&amp;AT$8,'Journal Entries'!$C:$C,"&gt;"&amp;AS$8)</f>
        <v>0</v>
      </c>
      <c r="AU56" s="43">
        <f>SUMIFS('Journal Entries'!$L:$L,'Journal Entries'!$K:$K,$C56,'Journal Entries'!$C:$C,"&lt;="&amp;AU$8,'Journal Entries'!$C:$C,"&gt;"&amp;AT$8)</f>
        <v>0</v>
      </c>
      <c r="AV56" s="43">
        <f>SUMIFS('Journal Entries'!$L:$L,'Journal Entries'!$K:$K,$C56,'Journal Entries'!$C:$C,"&lt;="&amp;AV$8,'Journal Entries'!$C:$C,"&gt;"&amp;AU$8)</f>
        <v>0</v>
      </c>
      <c r="AW56" s="43">
        <f>SUMIFS('Journal Entries'!$L:$L,'Journal Entries'!$K:$K,$C56,'Journal Entries'!$C:$C,"&lt;="&amp;AW$8,'Journal Entries'!$C:$C,"&gt;"&amp;AV$8)</f>
        <v>0</v>
      </c>
      <c r="AX56" s="43">
        <f>SUMIFS('Journal Entries'!$L:$L,'Journal Entries'!$K:$K,$C56,'Journal Entries'!$C:$C,"&lt;="&amp;AX$8,'Journal Entries'!$C:$C,"&gt;"&amp;AW$8)</f>
        <v>0</v>
      </c>
      <c r="AY56" s="43">
        <f>SUMIFS('Journal Entries'!$L:$L,'Journal Entries'!$K:$K,$C56,'Journal Entries'!$C:$C,"&lt;="&amp;AY$8,'Journal Entries'!$C:$C,"&gt;"&amp;AX$8)</f>
        <v>0</v>
      </c>
      <c r="AZ56" s="43">
        <f>SUMIFS('Journal Entries'!$L:$L,'Journal Entries'!$K:$K,$C56,'Journal Entries'!$C:$C,"&lt;="&amp;AZ$8,'Journal Entries'!$C:$C,"&gt;"&amp;AY$8)</f>
        <v>0</v>
      </c>
      <c r="BA56" s="43">
        <f>SUMIFS('Journal Entries'!$L:$L,'Journal Entries'!$K:$K,$C56,'Journal Entries'!$C:$C,"&lt;="&amp;BA$8,'Journal Entries'!$C:$C,"&gt;"&amp;AZ$8)</f>
        <v>0</v>
      </c>
      <c r="BB56" s="43">
        <f>SUMIFS('Journal Entries'!$L:$L,'Journal Entries'!$K:$K,$C56,'Journal Entries'!$C:$C,"&lt;="&amp;BB$8,'Journal Entries'!$C:$C,"&gt;"&amp;BA$8)</f>
        <v>0</v>
      </c>
      <c r="BC56" s="43">
        <f>SUMIFS('Journal Entries'!$L:$L,'Journal Entries'!$K:$K,$C56,'Journal Entries'!$C:$C,"&lt;="&amp;BC$8,'Journal Entries'!$C:$C,"&gt;"&amp;BB$8)</f>
        <v>0</v>
      </c>
      <c r="BD56" s="43">
        <f>SUMIFS('Journal Entries'!$L:$L,'Journal Entries'!$K:$K,$C56,'Journal Entries'!$C:$C,"&lt;="&amp;BD$8,'Journal Entries'!$C:$C,"&gt;"&amp;BC$8)</f>
        <v>0</v>
      </c>
      <c r="BE56" s="43">
        <f>SUMIFS('Journal Entries'!$L:$L,'Journal Entries'!$K:$K,$C56,'Journal Entries'!$C:$C,"&lt;="&amp;BE$8,'Journal Entries'!$C:$C,"&gt;"&amp;BD$8)</f>
        <v>0</v>
      </c>
      <c r="BF56" s="43">
        <f>SUMIFS('Journal Entries'!$L:$L,'Journal Entries'!$K:$K,$C56,'Journal Entries'!$C:$C,"&lt;="&amp;BF$8,'Journal Entries'!$C:$C,"&gt;"&amp;BE$8)</f>
        <v>0</v>
      </c>
      <c r="BG56" s="43">
        <f>SUMIFS('Journal Entries'!$L:$L,'Journal Entries'!$K:$K,$C56,'Journal Entries'!$C:$C,"&lt;="&amp;BG$8,'Journal Entries'!$C:$C,"&gt;"&amp;BF$8)</f>
        <v>0</v>
      </c>
      <c r="BH56" s="43">
        <f>SUMIFS('Journal Entries'!$L:$L,'Journal Entries'!$K:$K,$C56,'Journal Entries'!$C:$C,"&lt;="&amp;BH$8,'Journal Entries'!$C:$C,"&gt;"&amp;BG$8)</f>
        <v>0</v>
      </c>
      <c r="BI56" s="43">
        <f>SUMIFS('Journal Entries'!$L:$L,'Journal Entries'!$K:$K,$C56,'Journal Entries'!$C:$C,"&lt;="&amp;BI$8,'Journal Entries'!$C:$C,"&gt;"&amp;BH$8)</f>
        <v>0</v>
      </c>
      <c r="BJ56" s="43">
        <f>SUMIFS('Journal Entries'!$L:$L,'Journal Entries'!$K:$K,$C56,'Journal Entries'!$C:$C,"&lt;="&amp;BJ$8,'Journal Entries'!$C:$C,"&gt;"&amp;BI$8)</f>
        <v>0</v>
      </c>
      <c r="BK56" s="43">
        <f>SUMIFS('Journal Entries'!$L:$L,'Journal Entries'!$K:$K,$C56,'Journal Entries'!$C:$C,"&lt;="&amp;BK$8,'Journal Entries'!$C:$C,"&gt;"&amp;BJ$8)</f>
        <v>0</v>
      </c>
      <c r="BL56" s="43">
        <f>SUMIFS('Journal Entries'!$L:$L,'Journal Entries'!$K:$K,$C56,'Journal Entries'!$C:$C,"&lt;="&amp;BL$8,'Journal Entries'!$C:$C,"&gt;"&amp;BK$8)</f>
        <v>0</v>
      </c>
    </row>
    <row r="57" spans="2:64" x14ac:dyDescent="0.25">
      <c r="B57" s="10">
        <v>5050</v>
      </c>
      <c r="C57" s="10" t="str">
        <f>VLOOKUP(B57,'Chart of Accounts'!$B$3:$C$95,2,0)</f>
        <v>Director fee expense</v>
      </c>
      <c r="D57" s="525">
        <f t="shared" si="2"/>
        <v>8000.0000000000009</v>
      </c>
      <c r="E57" s="43">
        <f>SUMIFS('Journal Entries'!$L:$L,'Journal Entries'!$K:$K,$C57,'Journal Entries'!$C:$C,"&lt;="&amp;E$8,'Journal Entries'!$C:$C,"&gt;"&amp;D$8)</f>
        <v>666.66666666666663</v>
      </c>
      <c r="F57" s="43">
        <f>SUMIFS('Journal Entries'!$L:$L,'Journal Entries'!$K:$K,$C57,'Journal Entries'!$C:$C,"&lt;="&amp;F$8,'Journal Entries'!$C:$C,"&gt;"&amp;E$8)</f>
        <v>666.66666666666663</v>
      </c>
      <c r="G57" s="43">
        <f>SUMIFS('Journal Entries'!$L:$L,'Journal Entries'!$K:$K,$C57,'Journal Entries'!$C:$C,"&lt;="&amp;G$8,'Journal Entries'!$C:$C,"&gt;"&amp;F$8)</f>
        <v>666.66666666666663</v>
      </c>
      <c r="H57" s="43">
        <f>SUMIFS('Journal Entries'!$L:$L,'Journal Entries'!$K:$K,$C57,'Journal Entries'!$C:$C,"&lt;="&amp;H$8,'Journal Entries'!$C:$C,"&gt;"&amp;G$8)</f>
        <v>666.66666666666663</v>
      </c>
      <c r="I57" s="43">
        <f>SUMIFS('Journal Entries'!$L:$L,'Journal Entries'!$K:$K,$C57,'Journal Entries'!$C:$C,"&lt;="&amp;I$8,'Journal Entries'!$C:$C,"&gt;"&amp;H$8)</f>
        <v>666.66666666666663</v>
      </c>
      <c r="J57" s="43">
        <f>SUMIFS('Journal Entries'!$L:$L,'Journal Entries'!$K:$K,$C57,'Journal Entries'!$C:$C,"&lt;="&amp;J$8,'Journal Entries'!$C:$C,"&gt;"&amp;I$8)</f>
        <v>666.66666666666663</v>
      </c>
      <c r="K57" s="43">
        <f>SUMIFS('Journal Entries'!$L:$L,'Journal Entries'!$K:$K,$C57,'Journal Entries'!$C:$C,"&lt;="&amp;K$8,'Journal Entries'!$C:$C,"&gt;"&amp;J$8)</f>
        <v>666.66666666666663</v>
      </c>
      <c r="L57" s="43">
        <f>SUMIFS('Journal Entries'!$L:$L,'Journal Entries'!$K:$K,$C57,'Journal Entries'!$C:$C,"&lt;="&amp;L$8,'Journal Entries'!$C:$C,"&gt;"&amp;K$8)</f>
        <v>666.66666666666663</v>
      </c>
      <c r="M57" s="43">
        <f>SUMIFS('Journal Entries'!$L:$L,'Journal Entries'!$K:$K,$C57,'Journal Entries'!$C:$C,"&lt;="&amp;M$8,'Journal Entries'!$C:$C,"&gt;"&amp;L$8)</f>
        <v>666.66666666666663</v>
      </c>
      <c r="N57" s="43">
        <f>SUMIFS('Journal Entries'!$L:$L,'Journal Entries'!$K:$K,$C57,'Journal Entries'!$C:$C,"&lt;="&amp;N$8,'Journal Entries'!$C:$C,"&gt;"&amp;M$8)</f>
        <v>666.66666666666663</v>
      </c>
      <c r="O57" s="43">
        <f>SUMIFS('Journal Entries'!$L:$L,'Journal Entries'!$K:$K,$C57,'Journal Entries'!$C:$C,"&lt;="&amp;O$8,'Journal Entries'!$C:$C,"&gt;"&amp;N$8)</f>
        <v>666.66666666666663</v>
      </c>
      <c r="P57" s="43">
        <f>SUMIFS('Journal Entries'!$L:$L,'Journal Entries'!$K:$K,$C57,'Journal Entries'!$C:$C,"&lt;="&amp;P$8,'Journal Entries'!$C:$C,"&gt;"&amp;O$8)</f>
        <v>666.66666666666663</v>
      </c>
      <c r="Q57" s="43">
        <f>SUMIFS('Journal Entries'!$L:$L,'Journal Entries'!$K:$K,$C57,'Journal Entries'!$C:$C,"&lt;="&amp;Q$8,'Journal Entries'!$C:$C,"&gt;"&amp;P$8)</f>
        <v>0</v>
      </c>
      <c r="R57" s="43">
        <f>SUMIFS('Journal Entries'!$L:$L,'Journal Entries'!$K:$K,$C57,'Journal Entries'!$C:$C,"&lt;="&amp;R$8,'Journal Entries'!$C:$C,"&gt;"&amp;Q$8)</f>
        <v>0</v>
      </c>
      <c r="S57" s="43">
        <f>SUMIFS('Journal Entries'!$L:$L,'Journal Entries'!$K:$K,$C57,'Journal Entries'!$C:$C,"&lt;="&amp;S$8,'Journal Entries'!$C:$C,"&gt;"&amp;R$8)</f>
        <v>0</v>
      </c>
      <c r="T57" s="43">
        <f>SUMIFS('Journal Entries'!$L:$L,'Journal Entries'!$K:$K,$C57,'Journal Entries'!$C:$C,"&lt;="&amp;T$8,'Journal Entries'!$C:$C,"&gt;"&amp;S$8)</f>
        <v>0</v>
      </c>
      <c r="U57" s="43">
        <f>SUMIFS('Journal Entries'!$L:$L,'Journal Entries'!$K:$K,$C57,'Journal Entries'!$C:$C,"&lt;="&amp;U$8,'Journal Entries'!$C:$C,"&gt;"&amp;T$8)</f>
        <v>0</v>
      </c>
      <c r="V57" s="43">
        <f>SUMIFS('Journal Entries'!$L:$L,'Journal Entries'!$K:$K,$C57,'Journal Entries'!$C:$C,"&lt;="&amp;V$8,'Journal Entries'!$C:$C,"&gt;"&amp;U$8)</f>
        <v>0</v>
      </c>
      <c r="W57" s="43">
        <f>SUMIFS('Journal Entries'!$L:$L,'Journal Entries'!$K:$K,$C57,'Journal Entries'!$C:$C,"&lt;="&amp;W$8,'Journal Entries'!$C:$C,"&gt;"&amp;V$8)</f>
        <v>0</v>
      </c>
      <c r="X57" s="43">
        <f>SUMIFS('Journal Entries'!$L:$L,'Journal Entries'!$K:$K,$C57,'Journal Entries'!$C:$C,"&lt;="&amp;X$8,'Journal Entries'!$C:$C,"&gt;"&amp;W$8)</f>
        <v>0</v>
      </c>
      <c r="Y57" s="43">
        <f>SUMIFS('Journal Entries'!$L:$L,'Journal Entries'!$K:$K,$C57,'Journal Entries'!$C:$C,"&lt;="&amp;Y$8,'Journal Entries'!$C:$C,"&gt;"&amp;X$8)</f>
        <v>0</v>
      </c>
      <c r="Z57" s="43">
        <f>SUMIFS('Journal Entries'!$L:$L,'Journal Entries'!$K:$K,$C57,'Journal Entries'!$C:$C,"&lt;="&amp;Z$8,'Journal Entries'!$C:$C,"&gt;"&amp;Y$8)</f>
        <v>0</v>
      </c>
      <c r="AA57" s="43">
        <f>SUMIFS('Journal Entries'!$L:$L,'Journal Entries'!$K:$K,$C57,'Journal Entries'!$C:$C,"&lt;="&amp;AA$8,'Journal Entries'!$C:$C,"&gt;"&amp;Z$8)</f>
        <v>0</v>
      </c>
      <c r="AB57" s="43">
        <f>SUMIFS('Journal Entries'!$L:$L,'Journal Entries'!$K:$K,$C57,'Journal Entries'!$C:$C,"&lt;="&amp;AB$8,'Journal Entries'!$C:$C,"&gt;"&amp;AA$8)</f>
        <v>0</v>
      </c>
      <c r="AC57" s="43">
        <f>SUMIFS('Journal Entries'!$L:$L,'Journal Entries'!$K:$K,$C57,'Journal Entries'!$C:$C,"&lt;="&amp;AC$8,'Journal Entries'!$C:$C,"&gt;"&amp;AB$8)</f>
        <v>0</v>
      </c>
      <c r="AD57" s="43">
        <f>SUMIFS('Journal Entries'!$L:$L,'Journal Entries'!$K:$K,$C57,'Journal Entries'!$C:$C,"&lt;="&amp;AD$8,'Journal Entries'!$C:$C,"&gt;"&amp;AC$8)</f>
        <v>0</v>
      </c>
      <c r="AE57" s="43">
        <f>SUMIFS('Journal Entries'!$L:$L,'Journal Entries'!$K:$K,$C57,'Journal Entries'!$C:$C,"&lt;="&amp;AE$8,'Journal Entries'!$C:$C,"&gt;"&amp;AD$8)</f>
        <v>0</v>
      </c>
      <c r="AF57" s="43">
        <f>SUMIFS('Journal Entries'!$L:$L,'Journal Entries'!$K:$K,$C57,'Journal Entries'!$C:$C,"&lt;="&amp;AF$8,'Journal Entries'!$C:$C,"&gt;"&amp;AE$8)</f>
        <v>0</v>
      </c>
      <c r="AG57" s="43">
        <f>SUMIFS('Journal Entries'!$L:$L,'Journal Entries'!$K:$K,$C57,'Journal Entries'!$C:$C,"&lt;="&amp;AG$8,'Journal Entries'!$C:$C,"&gt;"&amp;AF$8)</f>
        <v>0</v>
      </c>
      <c r="AH57" s="43">
        <f>SUMIFS('Journal Entries'!$L:$L,'Journal Entries'!$K:$K,$C57,'Journal Entries'!$C:$C,"&lt;="&amp;AH$8,'Journal Entries'!$C:$C,"&gt;"&amp;AG$8)</f>
        <v>0</v>
      </c>
      <c r="AI57" s="43">
        <f>SUMIFS('Journal Entries'!$L:$L,'Journal Entries'!$K:$K,$C57,'Journal Entries'!$C:$C,"&lt;="&amp;AI$8,'Journal Entries'!$C:$C,"&gt;"&amp;AH$8)</f>
        <v>0</v>
      </c>
      <c r="AJ57" s="43">
        <f>SUMIFS('Journal Entries'!$L:$L,'Journal Entries'!$K:$K,$C57,'Journal Entries'!$C:$C,"&lt;="&amp;AJ$8,'Journal Entries'!$C:$C,"&gt;"&amp;AI$8)</f>
        <v>0</v>
      </c>
      <c r="AK57" s="43">
        <f>SUMIFS('Journal Entries'!$L:$L,'Journal Entries'!$K:$K,$C57,'Journal Entries'!$C:$C,"&lt;="&amp;AK$8,'Journal Entries'!$C:$C,"&gt;"&amp;AJ$8)</f>
        <v>0</v>
      </c>
      <c r="AL57" s="43">
        <f>SUMIFS('Journal Entries'!$L:$L,'Journal Entries'!$K:$K,$C57,'Journal Entries'!$C:$C,"&lt;="&amp;AL$8,'Journal Entries'!$C:$C,"&gt;"&amp;AK$8)</f>
        <v>0</v>
      </c>
      <c r="AM57" s="43">
        <f>SUMIFS('Journal Entries'!$L:$L,'Journal Entries'!$K:$K,$C57,'Journal Entries'!$C:$C,"&lt;="&amp;AM$8,'Journal Entries'!$C:$C,"&gt;"&amp;AL$8)</f>
        <v>0</v>
      </c>
      <c r="AN57" s="43">
        <f>SUMIFS('Journal Entries'!$L:$L,'Journal Entries'!$K:$K,$C57,'Journal Entries'!$C:$C,"&lt;="&amp;AN$8,'Journal Entries'!$C:$C,"&gt;"&amp;AM$8)</f>
        <v>0</v>
      </c>
      <c r="AO57" s="43">
        <f>SUMIFS('Journal Entries'!$L:$L,'Journal Entries'!$K:$K,$C57,'Journal Entries'!$C:$C,"&lt;="&amp;AO$8,'Journal Entries'!$C:$C,"&gt;"&amp;AN$8)</f>
        <v>0</v>
      </c>
      <c r="AP57" s="43">
        <f>SUMIFS('Journal Entries'!$L:$L,'Journal Entries'!$K:$K,$C57,'Journal Entries'!$C:$C,"&lt;="&amp;AP$8,'Journal Entries'!$C:$C,"&gt;"&amp;AO$8)</f>
        <v>0</v>
      </c>
      <c r="AQ57" s="43">
        <f>SUMIFS('Journal Entries'!$L:$L,'Journal Entries'!$K:$K,$C57,'Journal Entries'!$C:$C,"&lt;="&amp;AQ$8,'Journal Entries'!$C:$C,"&gt;"&amp;AP$8)</f>
        <v>0</v>
      </c>
      <c r="AR57" s="43">
        <f>SUMIFS('Journal Entries'!$L:$L,'Journal Entries'!$K:$K,$C57,'Journal Entries'!$C:$C,"&lt;="&amp;AR$8,'Journal Entries'!$C:$C,"&gt;"&amp;AQ$8)</f>
        <v>0</v>
      </c>
      <c r="AS57" s="43">
        <f>SUMIFS('Journal Entries'!$L:$L,'Journal Entries'!$K:$K,$C57,'Journal Entries'!$C:$C,"&lt;="&amp;AS$8,'Journal Entries'!$C:$C,"&gt;"&amp;AR$8)</f>
        <v>0</v>
      </c>
      <c r="AT57" s="43">
        <f>SUMIFS('Journal Entries'!$L:$L,'Journal Entries'!$K:$K,$C57,'Journal Entries'!$C:$C,"&lt;="&amp;AT$8,'Journal Entries'!$C:$C,"&gt;"&amp;AS$8)</f>
        <v>0</v>
      </c>
      <c r="AU57" s="43">
        <f>SUMIFS('Journal Entries'!$L:$L,'Journal Entries'!$K:$K,$C57,'Journal Entries'!$C:$C,"&lt;="&amp;AU$8,'Journal Entries'!$C:$C,"&gt;"&amp;AT$8)</f>
        <v>0</v>
      </c>
      <c r="AV57" s="43">
        <f>SUMIFS('Journal Entries'!$L:$L,'Journal Entries'!$K:$K,$C57,'Journal Entries'!$C:$C,"&lt;="&amp;AV$8,'Journal Entries'!$C:$C,"&gt;"&amp;AU$8)</f>
        <v>0</v>
      </c>
      <c r="AW57" s="43">
        <f>SUMIFS('Journal Entries'!$L:$L,'Journal Entries'!$K:$K,$C57,'Journal Entries'!$C:$C,"&lt;="&amp;AW$8,'Journal Entries'!$C:$C,"&gt;"&amp;AV$8)</f>
        <v>0</v>
      </c>
      <c r="AX57" s="43">
        <f>SUMIFS('Journal Entries'!$L:$L,'Journal Entries'!$K:$K,$C57,'Journal Entries'!$C:$C,"&lt;="&amp;AX$8,'Journal Entries'!$C:$C,"&gt;"&amp;AW$8)</f>
        <v>0</v>
      </c>
      <c r="AY57" s="43">
        <f>SUMIFS('Journal Entries'!$L:$L,'Journal Entries'!$K:$K,$C57,'Journal Entries'!$C:$C,"&lt;="&amp;AY$8,'Journal Entries'!$C:$C,"&gt;"&amp;AX$8)</f>
        <v>0</v>
      </c>
      <c r="AZ57" s="43">
        <f>SUMIFS('Journal Entries'!$L:$L,'Journal Entries'!$K:$K,$C57,'Journal Entries'!$C:$C,"&lt;="&amp;AZ$8,'Journal Entries'!$C:$C,"&gt;"&amp;AY$8)</f>
        <v>0</v>
      </c>
      <c r="BA57" s="43">
        <f>SUMIFS('Journal Entries'!$L:$L,'Journal Entries'!$K:$K,$C57,'Journal Entries'!$C:$C,"&lt;="&amp;BA$8,'Journal Entries'!$C:$C,"&gt;"&amp;AZ$8)</f>
        <v>0</v>
      </c>
      <c r="BB57" s="43">
        <f>SUMIFS('Journal Entries'!$L:$L,'Journal Entries'!$K:$K,$C57,'Journal Entries'!$C:$C,"&lt;="&amp;BB$8,'Journal Entries'!$C:$C,"&gt;"&amp;BA$8)</f>
        <v>0</v>
      </c>
      <c r="BC57" s="43">
        <f>SUMIFS('Journal Entries'!$L:$L,'Journal Entries'!$K:$K,$C57,'Journal Entries'!$C:$C,"&lt;="&amp;BC$8,'Journal Entries'!$C:$C,"&gt;"&amp;BB$8)</f>
        <v>0</v>
      </c>
      <c r="BD57" s="43">
        <f>SUMIFS('Journal Entries'!$L:$L,'Journal Entries'!$K:$K,$C57,'Journal Entries'!$C:$C,"&lt;="&amp;BD$8,'Journal Entries'!$C:$C,"&gt;"&amp;BC$8)</f>
        <v>0</v>
      </c>
      <c r="BE57" s="43">
        <f>SUMIFS('Journal Entries'!$L:$L,'Journal Entries'!$K:$K,$C57,'Journal Entries'!$C:$C,"&lt;="&amp;BE$8,'Journal Entries'!$C:$C,"&gt;"&amp;BD$8)</f>
        <v>0</v>
      </c>
      <c r="BF57" s="43">
        <f>SUMIFS('Journal Entries'!$L:$L,'Journal Entries'!$K:$K,$C57,'Journal Entries'!$C:$C,"&lt;="&amp;BF$8,'Journal Entries'!$C:$C,"&gt;"&amp;BE$8)</f>
        <v>0</v>
      </c>
      <c r="BG57" s="43">
        <f>SUMIFS('Journal Entries'!$L:$L,'Journal Entries'!$K:$K,$C57,'Journal Entries'!$C:$C,"&lt;="&amp;BG$8,'Journal Entries'!$C:$C,"&gt;"&amp;BF$8)</f>
        <v>0</v>
      </c>
      <c r="BH57" s="43">
        <f>SUMIFS('Journal Entries'!$L:$L,'Journal Entries'!$K:$K,$C57,'Journal Entries'!$C:$C,"&lt;="&amp;BH$8,'Journal Entries'!$C:$C,"&gt;"&amp;BG$8)</f>
        <v>0</v>
      </c>
      <c r="BI57" s="43">
        <f>SUMIFS('Journal Entries'!$L:$L,'Journal Entries'!$K:$K,$C57,'Journal Entries'!$C:$C,"&lt;="&amp;BI$8,'Journal Entries'!$C:$C,"&gt;"&amp;BH$8)</f>
        <v>0</v>
      </c>
      <c r="BJ57" s="43">
        <f>SUMIFS('Journal Entries'!$L:$L,'Journal Entries'!$K:$K,$C57,'Journal Entries'!$C:$C,"&lt;="&amp;BJ$8,'Journal Entries'!$C:$C,"&gt;"&amp;BI$8)</f>
        <v>0</v>
      </c>
      <c r="BK57" s="43">
        <f>SUMIFS('Journal Entries'!$L:$L,'Journal Entries'!$K:$K,$C57,'Journal Entries'!$C:$C,"&lt;="&amp;BK$8,'Journal Entries'!$C:$C,"&gt;"&amp;BJ$8)</f>
        <v>0</v>
      </c>
      <c r="BL57" s="43">
        <f>SUMIFS('Journal Entries'!$L:$L,'Journal Entries'!$K:$K,$C57,'Journal Entries'!$C:$C,"&lt;="&amp;BL$8,'Journal Entries'!$C:$C,"&gt;"&amp;BK$8)</f>
        <v>0</v>
      </c>
    </row>
    <row r="58" spans="2:64" x14ac:dyDescent="0.25">
      <c r="B58" s="10">
        <v>5060</v>
      </c>
      <c r="C58" s="10" t="str">
        <f>VLOOKUP(B58,'Chart of Accounts'!$B$3:$C$95,2,0)</f>
        <v>Compliance fee expense</v>
      </c>
      <c r="D58" s="525">
        <f t="shared" si="2"/>
        <v>3000</v>
      </c>
      <c r="E58" s="43">
        <f>SUMIFS('Journal Entries'!$L:$L,'Journal Entries'!$K:$K,$C58,'Journal Entries'!$C:$C,"&lt;="&amp;E$8,'Journal Entries'!$C:$C,"&gt;"&amp;D$8)</f>
        <v>250</v>
      </c>
      <c r="F58" s="43">
        <f>SUMIFS('Journal Entries'!$L:$L,'Journal Entries'!$K:$K,$C58,'Journal Entries'!$C:$C,"&lt;="&amp;F$8,'Journal Entries'!$C:$C,"&gt;"&amp;E$8)</f>
        <v>250</v>
      </c>
      <c r="G58" s="43">
        <f>SUMIFS('Journal Entries'!$L:$L,'Journal Entries'!$K:$K,$C58,'Journal Entries'!$C:$C,"&lt;="&amp;G$8,'Journal Entries'!$C:$C,"&gt;"&amp;F$8)</f>
        <v>250</v>
      </c>
      <c r="H58" s="43">
        <f>SUMIFS('Journal Entries'!$L:$L,'Journal Entries'!$K:$K,$C58,'Journal Entries'!$C:$C,"&lt;="&amp;H$8,'Journal Entries'!$C:$C,"&gt;"&amp;G$8)</f>
        <v>250</v>
      </c>
      <c r="I58" s="43">
        <f>SUMIFS('Journal Entries'!$L:$L,'Journal Entries'!$K:$K,$C58,'Journal Entries'!$C:$C,"&lt;="&amp;I$8,'Journal Entries'!$C:$C,"&gt;"&amp;H$8)</f>
        <v>250</v>
      </c>
      <c r="J58" s="43">
        <f>SUMIFS('Journal Entries'!$L:$L,'Journal Entries'!$K:$K,$C58,'Journal Entries'!$C:$C,"&lt;="&amp;J$8,'Journal Entries'!$C:$C,"&gt;"&amp;I$8)</f>
        <v>250</v>
      </c>
      <c r="K58" s="43">
        <f>SUMIFS('Journal Entries'!$L:$L,'Journal Entries'!$K:$K,$C58,'Journal Entries'!$C:$C,"&lt;="&amp;K$8,'Journal Entries'!$C:$C,"&gt;"&amp;J$8)</f>
        <v>250</v>
      </c>
      <c r="L58" s="43">
        <f>SUMIFS('Journal Entries'!$L:$L,'Journal Entries'!$K:$K,$C58,'Journal Entries'!$C:$C,"&lt;="&amp;L$8,'Journal Entries'!$C:$C,"&gt;"&amp;K$8)</f>
        <v>250</v>
      </c>
      <c r="M58" s="43">
        <f>SUMIFS('Journal Entries'!$L:$L,'Journal Entries'!$K:$K,$C58,'Journal Entries'!$C:$C,"&lt;="&amp;M$8,'Journal Entries'!$C:$C,"&gt;"&amp;L$8)</f>
        <v>250</v>
      </c>
      <c r="N58" s="43">
        <f>SUMIFS('Journal Entries'!$L:$L,'Journal Entries'!$K:$K,$C58,'Journal Entries'!$C:$C,"&lt;="&amp;N$8,'Journal Entries'!$C:$C,"&gt;"&amp;M$8)</f>
        <v>250</v>
      </c>
      <c r="O58" s="43">
        <f>SUMIFS('Journal Entries'!$L:$L,'Journal Entries'!$K:$K,$C58,'Journal Entries'!$C:$C,"&lt;="&amp;O$8,'Journal Entries'!$C:$C,"&gt;"&amp;N$8)</f>
        <v>250</v>
      </c>
      <c r="P58" s="43">
        <f>SUMIFS('Journal Entries'!$L:$L,'Journal Entries'!$K:$K,$C58,'Journal Entries'!$C:$C,"&lt;="&amp;P$8,'Journal Entries'!$C:$C,"&gt;"&amp;O$8)</f>
        <v>250</v>
      </c>
      <c r="Q58" s="43">
        <f>SUMIFS('Journal Entries'!$L:$L,'Journal Entries'!$K:$K,$C58,'Journal Entries'!$C:$C,"&lt;="&amp;Q$8,'Journal Entries'!$C:$C,"&gt;"&amp;P$8)</f>
        <v>0</v>
      </c>
      <c r="R58" s="43">
        <f>SUMIFS('Journal Entries'!$L:$L,'Journal Entries'!$K:$K,$C58,'Journal Entries'!$C:$C,"&lt;="&amp;R$8,'Journal Entries'!$C:$C,"&gt;"&amp;Q$8)</f>
        <v>0</v>
      </c>
      <c r="S58" s="43">
        <f>SUMIFS('Journal Entries'!$L:$L,'Journal Entries'!$K:$K,$C58,'Journal Entries'!$C:$C,"&lt;="&amp;S$8,'Journal Entries'!$C:$C,"&gt;"&amp;R$8)</f>
        <v>0</v>
      </c>
      <c r="T58" s="43">
        <f>SUMIFS('Journal Entries'!$L:$L,'Journal Entries'!$K:$K,$C58,'Journal Entries'!$C:$C,"&lt;="&amp;T$8,'Journal Entries'!$C:$C,"&gt;"&amp;S$8)</f>
        <v>0</v>
      </c>
      <c r="U58" s="43">
        <f>SUMIFS('Journal Entries'!$L:$L,'Journal Entries'!$K:$K,$C58,'Journal Entries'!$C:$C,"&lt;="&amp;U$8,'Journal Entries'!$C:$C,"&gt;"&amp;T$8)</f>
        <v>0</v>
      </c>
      <c r="V58" s="43">
        <f>SUMIFS('Journal Entries'!$L:$L,'Journal Entries'!$K:$K,$C58,'Journal Entries'!$C:$C,"&lt;="&amp;V$8,'Journal Entries'!$C:$C,"&gt;"&amp;U$8)</f>
        <v>0</v>
      </c>
      <c r="W58" s="43">
        <f>SUMIFS('Journal Entries'!$L:$L,'Journal Entries'!$K:$K,$C58,'Journal Entries'!$C:$C,"&lt;="&amp;W$8,'Journal Entries'!$C:$C,"&gt;"&amp;V$8)</f>
        <v>0</v>
      </c>
      <c r="X58" s="43">
        <f>SUMIFS('Journal Entries'!$L:$L,'Journal Entries'!$K:$K,$C58,'Journal Entries'!$C:$C,"&lt;="&amp;X$8,'Journal Entries'!$C:$C,"&gt;"&amp;W$8)</f>
        <v>0</v>
      </c>
      <c r="Y58" s="43">
        <f>SUMIFS('Journal Entries'!$L:$L,'Journal Entries'!$K:$K,$C58,'Journal Entries'!$C:$C,"&lt;="&amp;Y$8,'Journal Entries'!$C:$C,"&gt;"&amp;X$8)</f>
        <v>0</v>
      </c>
      <c r="Z58" s="43">
        <f>SUMIFS('Journal Entries'!$L:$L,'Journal Entries'!$K:$K,$C58,'Journal Entries'!$C:$C,"&lt;="&amp;Z$8,'Journal Entries'!$C:$C,"&gt;"&amp;Y$8)</f>
        <v>0</v>
      </c>
      <c r="AA58" s="43">
        <f>SUMIFS('Journal Entries'!$L:$L,'Journal Entries'!$K:$K,$C58,'Journal Entries'!$C:$C,"&lt;="&amp;AA$8,'Journal Entries'!$C:$C,"&gt;"&amp;Z$8)</f>
        <v>0</v>
      </c>
      <c r="AB58" s="43">
        <f>SUMIFS('Journal Entries'!$L:$L,'Journal Entries'!$K:$K,$C58,'Journal Entries'!$C:$C,"&lt;="&amp;AB$8,'Journal Entries'!$C:$C,"&gt;"&amp;AA$8)</f>
        <v>0</v>
      </c>
      <c r="AC58" s="43">
        <f>SUMIFS('Journal Entries'!$L:$L,'Journal Entries'!$K:$K,$C58,'Journal Entries'!$C:$C,"&lt;="&amp;AC$8,'Journal Entries'!$C:$C,"&gt;"&amp;AB$8)</f>
        <v>0</v>
      </c>
      <c r="AD58" s="43">
        <f>SUMIFS('Journal Entries'!$L:$L,'Journal Entries'!$K:$K,$C58,'Journal Entries'!$C:$C,"&lt;="&amp;AD$8,'Journal Entries'!$C:$C,"&gt;"&amp;AC$8)</f>
        <v>0</v>
      </c>
      <c r="AE58" s="43">
        <f>SUMIFS('Journal Entries'!$L:$L,'Journal Entries'!$K:$K,$C58,'Journal Entries'!$C:$C,"&lt;="&amp;AE$8,'Journal Entries'!$C:$C,"&gt;"&amp;AD$8)</f>
        <v>0</v>
      </c>
      <c r="AF58" s="43">
        <f>SUMIFS('Journal Entries'!$L:$L,'Journal Entries'!$K:$K,$C58,'Journal Entries'!$C:$C,"&lt;="&amp;AF$8,'Journal Entries'!$C:$C,"&gt;"&amp;AE$8)</f>
        <v>0</v>
      </c>
      <c r="AG58" s="43">
        <f>SUMIFS('Journal Entries'!$L:$L,'Journal Entries'!$K:$K,$C58,'Journal Entries'!$C:$C,"&lt;="&amp;AG$8,'Journal Entries'!$C:$C,"&gt;"&amp;AF$8)</f>
        <v>0</v>
      </c>
      <c r="AH58" s="43">
        <f>SUMIFS('Journal Entries'!$L:$L,'Journal Entries'!$K:$K,$C58,'Journal Entries'!$C:$C,"&lt;="&amp;AH$8,'Journal Entries'!$C:$C,"&gt;"&amp;AG$8)</f>
        <v>0</v>
      </c>
      <c r="AI58" s="43">
        <f>SUMIFS('Journal Entries'!$L:$L,'Journal Entries'!$K:$K,$C58,'Journal Entries'!$C:$C,"&lt;="&amp;AI$8,'Journal Entries'!$C:$C,"&gt;"&amp;AH$8)</f>
        <v>0</v>
      </c>
      <c r="AJ58" s="43">
        <f>SUMIFS('Journal Entries'!$L:$L,'Journal Entries'!$K:$K,$C58,'Journal Entries'!$C:$C,"&lt;="&amp;AJ$8,'Journal Entries'!$C:$C,"&gt;"&amp;AI$8)</f>
        <v>0</v>
      </c>
      <c r="AK58" s="43">
        <f>SUMIFS('Journal Entries'!$L:$L,'Journal Entries'!$K:$K,$C58,'Journal Entries'!$C:$C,"&lt;="&amp;AK$8,'Journal Entries'!$C:$C,"&gt;"&amp;AJ$8)</f>
        <v>0</v>
      </c>
      <c r="AL58" s="43">
        <f>SUMIFS('Journal Entries'!$L:$L,'Journal Entries'!$K:$K,$C58,'Journal Entries'!$C:$C,"&lt;="&amp;AL$8,'Journal Entries'!$C:$C,"&gt;"&amp;AK$8)</f>
        <v>0</v>
      </c>
      <c r="AM58" s="43">
        <f>SUMIFS('Journal Entries'!$L:$L,'Journal Entries'!$K:$K,$C58,'Journal Entries'!$C:$C,"&lt;="&amp;AM$8,'Journal Entries'!$C:$C,"&gt;"&amp;AL$8)</f>
        <v>0</v>
      </c>
      <c r="AN58" s="43">
        <f>SUMIFS('Journal Entries'!$L:$L,'Journal Entries'!$K:$K,$C58,'Journal Entries'!$C:$C,"&lt;="&amp;AN$8,'Journal Entries'!$C:$C,"&gt;"&amp;AM$8)</f>
        <v>0</v>
      </c>
      <c r="AO58" s="43">
        <f>SUMIFS('Journal Entries'!$L:$L,'Journal Entries'!$K:$K,$C58,'Journal Entries'!$C:$C,"&lt;="&amp;AO$8,'Journal Entries'!$C:$C,"&gt;"&amp;AN$8)</f>
        <v>0</v>
      </c>
      <c r="AP58" s="43">
        <f>SUMIFS('Journal Entries'!$L:$L,'Journal Entries'!$K:$K,$C58,'Journal Entries'!$C:$C,"&lt;="&amp;AP$8,'Journal Entries'!$C:$C,"&gt;"&amp;AO$8)</f>
        <v>0</v>
      </c>
      <c r="AQ58" s="43">
        <f>SUMIFS('Journal Entries'!$L:$L,'Journal Entries'!$K:$K,$C58,'Journal Entries'!$C:$C,"&lt;="&amp;AQ$8,'Journal Entries'!$C:$C,"&gt;"&amp;AP$8)</f>
        <v>0</v>
      </c>
      <c r="AR58" s="43">
        <f>SUMIFS('Journal Entries'!$L:$L,'Journal Entries'!$K:$K,$C58,'Journal Entries'!$C:$C,"&lt;="&amp;AR$8,'Journal Entries'!$C:$C,"&gt;"&amp;AQ$8)</f>
        <v>0</v>
      </c>
      <c r="AS58" s="43">
        <f>SUMIFS('Journal Entries'!$L:$L,'Journal Entries'!$K:$K,$C58,'Journal Entries'!$C:$C,"&lt;="&amp;AS$8,'Journal Entries'!$C:$C,"&gt;"&amp;AR$8)</f>
        <v>0</v>
      </c>
      <c r="AT58" s="43">
        <f>SUMIFS('Journal Entries'!$L:$L,'Journal Entries'!$K:$K,$C58,'Journal Entries'!$C:$C,"&lt;="&amp;AT$8,'Journal Entries'!$C:$C,"&gt;"&amp;AS$8)</f>
        <v>0</v>
      </c>
      <c r="AU58" s="43">
        <f>SUMIFS('Journal Entries'!$L:$L,'Journal Entries'!$K:$K,$C58,'Journal Entries'!$C:$C,"&lt;="&amp;AU$8,'Journal Entries'!$C:$C,"&gt;"&amp;AT$8)</f>
        <v>0</v>
      </c>
      <c r="AV58" s="43">
        <f>SUMIFS('Journal Entries'!$L:$L,'Journal Entries'!$K:$K,$C58,'Journal Entries'!$C:$C,"&lt;="&amp;AV$8,'Journal Entries'!$C:$C,"&gt;"&amp;AU$8)</f>
        <v>0</v>
      </c>
      <c r="AW58" s="43">
        <f>SUMIFS('Journal Entries'!$L:$L,'Journal Entries'!$K:$K,$C58,'Journal Entries'!$C:$C,"&lt;="&amp;AW$8,'Journal Entries'!$C:$C,"&gt;"&amp;AV$8)</f>
        <v>0</v>
      </c>
      <c r="AX58" s="43">
        <f>SUMIFS('Journal Entries'!$L:$L,'Journal Entries'!$K:$K,$C58,'Journal Entries'!$C:$C,"&lt;="&amp;AX$8,'Journal Entries'!$C:$C,"&gt;"&amp;AW$8)</f>
        <v>0</v>
      </c>
      <c r="AY58" s="43">
        <f>SUMIFS('Journal Entries'!$L:$L,'Journal Entries'!$K:$K,$C58,'Journal Entries'!$C:$C,"&lt;="&amp;AY$8,'Journal Entries'!$C:$C,"&gt;"&amp;AX$8)</f>
        <v>0</v>
      </c>
      <c r="AZ58" s="43">
        <f>SUMIFS('Journal Entries'!$L:$L,'Journal Entries'!$K:$K,$C58,'Journal Entries'!$C:$C,"&lt;="&amp;AZ$8,'Journal Entries'!$C:$C,"&gt;"&amp;AY$8)</f>
        <v>0</v>
      </c>
      <c r="BA58" s="43">
        <f>SUMIFS('Journal Entries'!$L:$L,'Journal Entries'!$K:$K,$C58,'Journal Entries'!$C:$C,"&lt;="&amp;BA$8,'Journal Entries'!$C:$C,"&gt;"&amp;AZ$8)</f>
        <v>0</v>
      </c>
      <c r="BB58" s="43">
        <f>SUMIFS('Journal Entries'!$L:$L,'Journal Entries'!$K:$K,$C58,'Journal Entries'!$C:$C,"&lt;="&amp;BB$8,'Journal Entries'!$C:$C,"&gt;"&amp;BA$8)</f>
        <v>0</v>
      </c>
      <c r="BC58" s="43">
        <f>SUMIFS('Journal Entries'!$L:$L,'Journal Entries'!$K:$K,$C58,'Journal Entries'!$C:$C,"&lt;="&amp;BC$8,'Journal Entries'!$C:$C,"&gt;"&amp;BB$8)</f>
        <v>0</v>
      </c>
      <c r="BD58" s="43">
        <f>SUMIFS('Journal Entries'!$L:$L,'Journal Entries'!$K:$K,$C58,'Journal Entries'!$C:$C,"&lt;="&amp;BD$8,'Journal Entries'!$C:$C,"&gt;"&amp;BC$8)</f>
        <v>0</v>
      </c>
      <c r="BE58" s="43">
        <f>SUMIFS('Journal Entries'!$L:$L,'Journal Entries'!$K:$K,$C58,'Journal Entries'!$C:$C,"&lt;="&amp;BE$8,'Journal Entries'!$C:$C,"&gt;"&amp;BD$8)</f>
        <v>0</v>
      </c>
      <c r="BF58" s="43">
        <f>SUMIFS('Journal Entries'!$L:$L,'Journal Entries'!$K:$K,$C58,'Journal Entries'!$C:$C,"&lt;="&amp;BF$8,'Journal Entries'!$C:$C,"&gt;"&amp;BE$8)</f>
        <v>0</v>
      </c>
      <c r="BG58" s="43">
        <f>SUMIFS('Journal Entries'!$L:$L,'Journal Entries'!$K:$K,$C58,'Journal Entries'!$C:$C,"&lt;="&amp;BG$8,'Journal Entries'!$C:$C,"&gt;"&amp;BF$8)</f>
        <v>0</v>
      </c>
      <c r="BH58" s="43">
        <f>SUMIFS('Journal Entries'!$L:$L,'Journal Entries'!$K:$K,$C58,'Journal Entries'!$C:$C,"&lt;="&amp;BH$8,'Journal Entries'!$C:$C,"&gt;"&amp;BG$8)</f>
        <v>0</v>
      </c>
      <c r="BI58" s="43">
        <f>SUMIFS('Journal Entries'!$L:$L,'Journal Entries'!$K:$K,$C58,'Journal Entries'!$C:$C,"&lt;="&amp;BI$8,'Journal Entries'!$C:$C,"&gt;"&amp;BH$8)</f>
        <v>0</v>
      </c>
      <c r="BJ58" s="43">
        <f>SUMIFS('Journal Entries'!$L:$L,'Journal Entries'!$K:$K,$C58,'Journal Entries'!$C:$C,"&lt;="&amp;BJ$8,'Journal Entries'!$C:$C,"&gt;"&amp;BI$8)</f>
        <v>0</v>
      </c>
      <c r="BK58" s="43">
        <f>SUMIFS('Journal Entries'!$L:$L,'Journal Entries'!$K:$K,$C58,'Journal Entries'!$C:$C,"&lt;="&amp;BK$8,'Journal Entries'!$C:$C,"&gt;"&amp;BJ$8)</f>
        <v>0</v>
      </c>
      <c r="BL58" s="43">
        <f>SUMIFS('Journal Entries'!$L:$L,'Journal Entries'!$K:$K,$C58,'Journal Entries'!$C:$C,"&lt;="&amp;BL$8,'Journal Entries'!$C:$C,"&gt;"&amp;BK$8)</f>
        <v>0</v>
      </c>
    </row>
    <row r="59" spans="2:64" x14ac:dyDescent="0.25">
      <c r="B59" s="10">
        <v>5070</v>
      </c>
      <c r="C59" s="10" t="str">
        <f>VLOOKUP(B59,'Chart of Accounts'!$B$3:$C$95,2,0)</f>
        <v>Insurance fee expense</v>
      </c>
      <c r="D59" s="525">
        <f t="shared" si="2"/>
        <v>0</v>
      </c>
      <c r="E59" s="43">
        <f>SUMIFS('Journal Entries'!$L:$L,'Journal Entries'!$K:$K,$C59,'Journal Entries'!$C:$C,"&lt;="&amp;E$8,'Journal Entries'!$C:$C,"&gt;"&amp;D$8)</f>
        <v>0</v>
      </c>
      <c r="F59" s="43">
        <f>SUMIFS('Journal Entries'!$L:$L,'Journal Entries'!$K:$K,$C59,'Journal Entries'!$C:$C,"&lt;="&amp;F$8,'Journal Entries'!$C:$C,"&gt;"&amp;E$8)</f>
        <v>0</v>
      </c>
      <c r="G59" s="43">
        <f>SUMIFS('Journal Entries'!$L:$L,'Journal Entries'!$K:$K,$C59,'Journal Entries'!$C:$C,"&lt;="&amp;G$8,'Journal Entries'!$C:$C,"&gt;"&amp;F$8)</f>
        <v>0</v>
      </c>
      <c r="H59" s="43">
        <f>SUMIFS('Journal Entries'!$L:$L,'Journal Entries'!$K:$K,$C59,'Journal Entries'!$C:$C,"&lt;="&amp;H$8,'Journal Entries'!$C:$C,"&gt;"&amp;G$8)</f>
        <v>0</v>
      </c>
      <c r="I59" s="43">
        <f>SUMIFS('Journal Entries'!$L:$L,'Journal Entries'!$K:$K,$C59,'Journal Entries'!$C:$C,"&lt;="&amp;I$8,'Journal Entries'!$C:$C,"&gt;"&amp;H$8)</f>
        <v>0</v>
      </c>
      <c r="J59" s="43">
        <f>SUMIFS('Journal Entries'!$L:$L,'Journal Entries'!$K:$K,$C59,'Journal Entries'!$C:$C,"&lt;="&amp;J$8,'Journal Entries'!$C:$C,"&gt;"&amp;I$8)</f>
        <v>0</v>
      </c>
      <c r="K59" s="43">
        <f>SUMIFS('Journal Entries'!$L:$L,'Journal Entries'!$K:$K,$C59,'Journal Entries'!$C:$C,"&lt;="&amp;K$8,'Journal Entries'!$C:$C,"&gt;"&amp;J$8)</f>
        <v>0</v>
      </c>
      <c r="L59" s="43">
        <f>SUMIFS('Journal Entries'!$L:$L,'Journal Entries'!$K:$K,$C59,'Journal Entries'!$C:$C,"&lt;="&amp;L$8,'Journal Entries'!$C:$C,"&gt;"&amp;K$8)</f>
        <v>0</v>
      </c>
      <c r="M59" s="43">
        <f>SUMIFS('Journal Entries'!$L:$L,'Journal Entries'!$K:$K,$C59,'Journal Entries'!$C:$C,"&lt;="&amp;M$8,'Journal Entries'!$C:$C,"&gt;"&amp;L$8)</f>
        <v>0</v>
      </c>
      <c r="N59" s="43">
        <f>SUMIFS('Journal Entries'!$L:$L,'Journal Entries'!$K:$K,$C59,'Journal Entries'!$C:$C,"&lt;="&amp;N$8,'Journal Entries'!$C:$C,"&gt;"&amp;M$8)</f>
        <v>0</v>
      </c>
      <c r="O59" s="43">
        <f>SUMIFS('Journal Entries'!$L:$L,'Journal Entries'!$K:$K,$C59,'Journal Entries'!$C:$C,"&lt;="&amp;O$8,'Journal Entries'!$C:$C,"&gt;"&amp;N$8)</f>
        <v>0</v>
      </c>
      <c r="P59" s="43">
        <f>SUMIFS('Journal Entries'!$L:$L,'Journal Entries'!$K:$K,$C59,'Journal Entries'!$C:$C,"&lt;="&amp;P$8,'Journal Entries'!$C:$C,"&gt;"&amp;O$8)</f>
        <v>0</v>
      </c>
      <c r="Q59" s="43">
        <f>SUMIFS('Journal Entries'!$L:$L,'Journal Entries'!$K:$K,$C59,'Journal Entries'!$C:$C,"&lt;="&amp;Q$8,'Journal Entries'!$C:$C,"&gt;"&amp;P$8)</f>
        <v>0</v>
      </c>
      <c r="R59" s="43">
        <f>SUMIFS('Journal Entries'!$L:$L,'Journal Entries'!$K:$K,$C59,'Journal Entries'!$C:$C,"&lt;="&amp;R$8,'Journal Entries'!$C:$C,"&gt;"&amp;Q$8)</f>
        <v>0</v>
      </c>
      <c r="S59" s="43">
        <f>SUMIFS('Journal Entries'!$L:$L,'Journal Entries'!$K:$K,$C59,'Journal Entries'!$C:$C,"&lt;="&amp;S$8,'Journal Entries'!$C:$C,"&gt;"&amp;R$8)</f>
        <v>0</v>
      </c>
      <c r="T59" s="43">
        <f>SUMIFS('Journal Entries'!$L:$L,'Journal Entries'!$K:$K,$C59,'Journal Entries'!$C:$C,"&lt;="&amp;T$8,'Journal Entries'!$C:$C,"&gt;"&amp;S$8)</f>
        <v>0</v>
      </c>
      <c r="U59" s="43">
        <f>SUMIFS('Journal Entries'!$L:$L,'Journal Entries'!$K:$K,$C59,'Journal Entries'!$C:$C,"&lt;="&amp;U$8,'Journal Entries'!$C:$C,"&gt;"&amp;T$8)</f>
        <v>0</v>
      </c>
      <c r="V59" s="43">
        <f>SUMIFS('Journal Entries'!$L:$L,'Journal Entries'!$K:$K,$C59,'Journal Entries'!$C:$C,"&lt;="&amp;V$8,'Journal Entries'!$C:$C,"&gt;"&amp;U$8)</f>
        <v>0</v>
      </c>
      <c r="W59" s="43">
        <f>SUMIFS('Journal Entries'!$L:$L,'Journal Entries'!$K:$K,$C59,'Journal Entries'!$C:$C,"&lt;="&amp;W$8,'Journal Entries'!$C:$C,"&gt;"&amp;V$8)</f>
        <v>0</v>
      </c>
      <c r="X59" s="43">
        <f>SUMIFS('Journal Entries'!$L:$L,'Journal Entries'!$K:$K,$C59,'Journal Entries'!$C:$C,"&lt;="&amp;X$8,'Journal Entries'!$C:$C,"&gt;"&amp;W$8)</f>
        <v>0</v>
      </c>
      <c r="Y59" s="43">
        <f>SUMIFS('Journal Entries'!$L:$L,'Journal Entries'!$K:$K,$C59,'Journal Entries'!$C:$C,"&lt;="&amp;Y$8,'Journal Entries'!$C:$C,"&gt;"&amp;X$8)</f>
        <v>0</v>
      </c>
      <c r="Z59" s="43">
        <f>SUMIFS('Journal Entries'!$L:$L,'Journal Entries'!$K:$K,$C59,'Journal Entries'!$C:$C,"&lt;="&amp;Z$8,'Journal Entries'!$C:$C,"&gt;"&amp;Y$8)</f>
        <v>0</v>
      </c>
      <c r="AA59" s="43">
        <f>SUMIFS('Journal Entries'!$L:$L,'Journal Entries'!$K:$K,$C59,'Journal Entries'!$C:$C,"&lt;="&amp;AA$8,'Journal Entries'!$C:$C,"&gt;"&amp;Z$8)</f>
        <v>0</v>
      </c>
      <c r="AB59" s="43">
        <f>SUMIFS('Journal Entries'!$L:$L,'Journal Entries'!$K:$K,$C59,'Journal Entries'!$C:$C,"&lt;="&amp;AB$8,'Journal Entries'!$C:$C,"&gt;"&amp;AA$8)</f>
        <v>0</v>
      </c>
      <c r="AC59" s="43">
        <f>SUMIFS('Journal Entries'!$L:$L,'Journal Entries'!$K:$K,$C59,'Journal Entries'!$C:$C,"&lt;="&amp;AC$8,'Journal Entries'!$C:$C,"&gt;"&amp;AB$8)</f>
        <v>0</v>
      </c>
      <c r="AD59" s="43">
        <f>SUMIFS('Journal Entries'!$L:$L,'Journal Entries'!$K:$K,$C59,'Journal Entries'!$C:$C,"&lt;="&amp;AD$8,'Journal Entries'!$C:$C,"&gt;"&amp;AC$8)</f>
        <v>0</v>
      </c>
      <c r="AE59" s="43">
        <f>SUMIFS('Journal Entries'!$L:$L,'Journal Entries'!$K:$K,$C59,'Journal Entries'!$C:$C,"&lt;="&amp;AE$8,'Journal Entries'!$C:$C,"&gt;"&amp;AD$8)</f>
        <v>0</v>
      </c>
      <c r="AF59" s="43">
        <f>SUMIFS('Journal Entries'!$L:$L,'Journal Entries'!$K:$K,$C59,'Journal Entries'!$C:$C,"&lt;="&amp;AF$8,'Journal Entries'!$C:$C,"&gt;"&amp;AE$8)</f>
        <v>0</v>
      </c>
      <c r="AG59" s="43">
        <f>SUMIFS('Journal Entries'!$L:$L,'Journal Entries'!$K:$K,$C59,'Journal Entries'!$C:$C,"&lt;="&amp;AG$8,'Journal Entries'!$C:$C,"&gt;"&amp;AF$8)</f>
        <v>0</v>
      </c>
      <c r="AH59" s="43">
        <f>SUMIFS('Journal Entries'!$L:$L,'Journal Entries'!$K:$K,$C59,'Journal Entries'!$C:$C,"&lt;="&amp;AH$8,'Journal Entries'!$C:$C,"&gt;"&amp;AG$8)</f>
        <v>0</v>
      </c>
      <c r="AI59" s="43">
        <f>SUMIFS('Journal Entries'!$L:$L,'Journal Entries'!$K:$K,$C59,'Journal Entries'!$C:$C,"&lt;="&amp;AI$8,'Journal Entries'!$C:$C,"&gt;"&amp;AH$8)</f>
        <v>0</v>
      </c>
      <c r="AJ59" s="43">
        <f>SUMIFS('Journal Entries'!$L:$L,'Journal Entries'!$K:$K,$C59,'Journal Entries'!$C:$C,"&lt;="&amp;AJ$8,'Journal Entries'!$C:$C,"&gt;"&amp;AI$8)</f>
        <v>0</v>
      </c>
      <c r="AK59" s="43">
        <f>SUMIFS('Journal Entries'!$L:$L,'Journal Entries'!$K:$K,$C59,'Journal Entries'!$C:$C,"&lt;="&amp;AK$8,'Journal Entries'!$C:$C,"&gt;"&amp;AJ$8)</f>
        <v>0</v>
      </c>
      <c r="AL59" s="43">
        <f>SUMIFS('Journal Entries'!$L:$L,'Journal Entries'!$K:$K,$C59,'Journal Entries'!$C:$C,"&lt;="&amp;AL$8,'Journal Entries'!$C:$C,"&gt;"&amp;AK$8)</f>
        <v>0</v>
      </c>
      <c r="AM59" s="43">
        <f>SUMIFS('Journal Entries'!$L:$L,'Journal Entries'!$K:$K,$C59,'Journal Entries'!$C:$C,"&lt;="&amp;AM$8,'Journal Entries'!$C:$C,"&gt;"&amp;AL$8)</f>
        <v>0</v>
      </c>
      <c r="AN59" s="43">
        <f>SUMIFS('Journal Entries'!$L:$L,'Journal Entries'!$K:$K,$C59,'Journal Entries'!$C:$C,"&lt;="&amp;AN$8,'Journal Entries'!$C:$C,"&gt;"&amp;AM$8)</f>
        <v>0</v>
      </c>
      <c r="AO59" s="43">
        <f>SUMIFS('Journal Entries'!$L:$L,'Journal Entries'!$K:$K,$C59,'Journal Entries'!$C:$C,"&lt;="&amp;AO$8,'Journal Entries'!$C:$C,"&gt;"&amp;AN$8)</f>
        <v>0</v>
      </c>
      <c r="AP59" s="43">
        <f>SUMIFS('Journal Entries'!$L:$L,'Journal Entries'!$K:$K,$C59,'Journal Entries'!$C:$C,"&lt;="&amp;AP$8,'Journal Entries'!$C:$C,"&gt;"&amp;AO$8)</f>
        <v>0</v>
      </c>
      <c r="AQ59" s="43">
        <f>SUMIFS('Journal Entries'!$L:$L,'Journal Entries'!$K:$K,$C59,'Journal Entries'!$C:$C,"&lt;="&amp;AQ$8,'Journal Entries'!$C:$C,"&gt;"&amp;AP$8)</f>
        <v>0</v>
      </c>
      <c r="AR59" s="43">
        <f>SUMIFS('Journal Entries'!$L:$L,'Journal Entries'!$K:$K,$C59,'Journal Entries'!$C:$C,"&lt;="&amp;AR$8,'Journal Entries'!$C:$C,"&gt;"&amp;AQ$8)</f>
        <v>0</v>
      </c>
      <c r="AS59" s="43">
        <f>SUMIFS('Journal Entries'!$L:$L,'Journal Entries'!$K:$K,$C59,'Journal Entries'!$C:$C,"&lt;="&amp;AS$8,'Journal Entries'!$C:$C,"&gt;"&amp;AR$8)</f>
        <v>0</v>
      </c>
      <c r="AT59" s="43">
        <f>SUMIFS('Journal Entries'!$L:$L,'Journal Entries'!$K:$K,$C59,'Journal Entries'!$C:$C,"&lt;="&amp;AT$8,'Journal Entries'!$C:$C,"&gt;"&amp;AS$8)</f>
        <v>0</v>
      </c>
      <c r="AU59" s="43">
        <f>SUMIFS('Journal Entries'!$L:$L,'Journal Entries'!$K:$K,$C59,'Journal Entries'!$C:$C,"&lt;="&amp;AU$8,'Journal Entries'!$C:$C,"&gt;"&amp;AT$8)</f>
        <v>0</v>
      </c>
      <c r="AV59" s="43">
        <f>SUMIFS('Journal Entries'!$L:$L,'Journal Entries'!$K:$K,$C59,'Journal Entries'!$C:$C,"&lt;="&amp;AV$8,'Journal Entries'!$C:$C,"&gt;"&amp;AU$8)</f>
        <v>0</v>
      </c>
      <c r="AW59" s="43">
        <f>SUMIFS('Journal Entries'!$L:$L,'Journal Entries'!$K:$K,$C59,'Journal Entries'!$C:$C,"&lt;="&amp;AW$8,'Journal Entries'!$C:$C,"&gt;"&amp;AV$8)</f>
        <v>0</v>
      </c>
      <c r="AX59" s="43">
        <f>SUMIFS('Journal Entries'!$L:$L,'Journal Entries'!$K:$K,$C59,'Journal Entries'!$C:$C,"&lt;="&amp;AX$8,'Journal Entries'!$C:$C,"&gt;"&amp;AW$8)</f>
        <v>0</v>
      </c>
      <c r="AY59" s="43">
        <f>SUMIFS('Journal Entries'!$L:$L,'Journal Entries'!$K:$K,$C59,'Journal Entries'!$C:$C,"&lt;="&amp;AY$8,'Journal Entries'!$C:$C,"&gt;"&amp;AX$8)</f>
        <v>0</v>
      </c>
      <c r="AZ59" s="43">
        <f>SUMIFS('Journal Entries'!$L:$L,'Journal Entries'!$K:$K,$C59,'Journal Entries'!$C:$C,"&lt;="&amp;AZ$8,'Journal Entries'!$C:$C,"&gt;"&amp;AY$8)</f>
        <v>0</v>
      </c>
      <c r="BA59" s="43">
        <f>SUMIFS('Journal Entries'!$L:$L,'Journal Entries'!$K:$K,$C59,'Journal Entries'!$C:$C,"&lt;="&amp;BA$8,'Journal Entries'!$C:$C,"&gt;"&amp;AZ$8)</f>
        <v>0</v>
      </c>
      <c r="BB59" s="43">
        <f>SUMIFS('Journal Entries'!$L:$L,'Journal Entries'!$K:$K,$C59,'Journal Entries'!$C:$C,"&lt;="&amp;BB$8,'Journal Entries'!$C:$C,"&gt;"&amp;BA$8)</f>
        <v>0</v>
      </c>
      <c r="BC59" s="43">
        <f>SUMIFS('Journal Entries'!$L:$L,'Journal Entries'!$K:$K,$C59,'Journal Entries'!$C:$C,"&lt;="&amp;BC$8,'Journal Entries'!$C:$C,"&gt;"&amp;BB$8)</f>
        <v>0</v>
      </c>
      <c r="BD59" s="43">
        <f>SUMIFS('Journal Entries'!$L:$L,'Journal Entries'!$K:$K,$C59,'Journal Entries'!$C:$C,"&lt;="&amp;BD$8,'Journal Entries'!$C:$C,"&gt;"&amp;BC$8)</f>
        <v>0</v>
      </c>
      <c r="BE59" s="43">
        <f>SUMIFS('Journal Entries'!$L:$L,'Journal Entries'!$K:$K,$C59,'Journal Entries'!$C:$C,"&lt;="&amp;BE$8,'Journal Entries'!$C:$C,"&gt;"&amp;BD$8)</f>
        <v>0</v>
      </c>
      <c r="BF59" s="43">
        <f>SUMIFS('Journal Entries'!$L:$L,'Journal Entries'!$K:$K,$C59,'Journal Entries'!$C:$C,"&lt;="&amp;BF$8,'Journal Entries'!$C:$C,"&gt;"&amp;BE$8)</f>
        <v>0</v>
      </c>
      <c r="BG59" s="43">
        <f>SUMIFS('Journal Entries'!$L:$L,'Journal Entries'!$K:$K,$C59,'Journal Entries'!$C:$C,"&lt;="&amp;BG$8,'Journal Entries'!$C:$C,"&gt;"&amp;BF$8)</f>
        <v>0</v>
      </c>
      <c r="BH59" s="43">
        <f>SUMIFS('Journal Entries'!$L:$L,'Journal Entries'!$K:$K,$C59,'Journal Entries'!$C:$C,"&lt;="&amp;BH$8,'Journal Entries'!$C:$C,"&gt;"&amp;BG$8)</f>
        <v>0</v>
      </c>
      <c r="BI59" s="43">
        <f>SUMIFS('Journal Entries'!$L:$L,'Journal Entries'!$K:$K,$C59,'Journal Entries'!$C:$C,"&lt;="&amp;BI$8,'Journal Entries'!$C:$C,"&gt;"&amp;BH$8)</f>
        <v>0</v>
      </c>
      <c r="BJ59" s="43">
        <f>SUMIFS('Journal Entries'!$L:$L,'Journal Entries'!$K:$K,$C59,'Journal Entries'!$C:$C,"&lt;="&amp;BJ$8,'Journal Entries'!$C:$C,"&gt;"&amp;BI$8)</f>
        <v>0</v>
      </c>
      <c r="BK59" s="43">
        <f>SUMIFS('Journal Entries'!$L:$L,'Journal Entries'!$K:$K,$C59,'Journal Entries'!$C:$C,"&lt;="&amp;BK$8,'Journal Entries'!$C:$C,"&gt;"&amp;BJ$8)</f>
        <v>0</v>
      </c>
      <c r="BL59" s="43">
        <f>SUMIFS('Journal Entries'!$L:$L,'Journal Entries'!$K:$K,$C59,'Journal Entries'!$C:$C,"&lt;="&amp;BL$8,'Journal Entries'!$C:$C,"&gt;"&amp;BK$8)</f>
        <v>0</v>
      </c>
    </row>
    <row r="60" spans="2:64" x14ac:dyDescent="0.25">
      <c r="B60" s="10">
        <v>5080</v>
      </c>
      <c r="C60" s="10" t="str">
        <f>VLOOKUP(B60,'Chart of Accounts'!$B$3:$C$95,2,0)</f>
        <v>Data market fee expense</v>
      </c>
      <c r="D60" s="525">
        <f t="shared" si="2"/>
        <v>10000</v>
      </c>
      <c r="E60" s="43">
        <f>SUMIFS('Journal Entries'!$L:$L,'Journal Entries'!$K:$K,$C60,'Journal Entries'!$C:$C,"&lt;="&amp;E$8,'Journal Entries'!$C:$C,"&gt;"&amp;D$8)</f>
        <v>833.33333333333337</v>
      </c>
      <c r="F60" s="43">
        <f>SUMIFS('Journal Entries'!$L:$L,'Journal Entries'!$K:$K,$C60,'Journal Entries'!$C:$C,"&lt;="&amp;F$8,'Journal Entries'!$C:$C,"&gt;"&amp;E$8)</f>
        <v>833.33333333333337</v>
      </c>
      <c r="G60" s="43">
        <f>SUMIFS('Journal Entries'!$L:$L,'Journal Entries'!$K:$K,$C60,'Journal Entries'!$C:$C,"&lt;="&amp;G$8,'Journal Entries'!$C:$C,"&gt;"&amp;F$8)</f>
        <v>833.33333333333337</v>
      </c>
      <c r="H60" s="43">
        <f>SUMIFS('Journal Entries'!$L:$L,'Journal Entries'!$K:$K,$C60,'Journal Entries'!$C:$C,"&lt;="&amp;H$8,'Journal Entries'!$C:$C,"&gt;"&amp;G$8)</f>
        <v>833.33333333333337</v>
      </c>
      <c r="I60" s="43">
        <f>SUMIFS('Journal Entries'!$L:$L,'Journal Entries'!$K:$K,$C60,'Journal Entries'!$C:$C,"&lt;="&amp;I$8,'Journal Entries'!$C:$C,"&gt;"&amp;H$8)</f>
        <v>833.33333333333337</v>
      </c>
      <c r="J60" s="43">
        <f>SUMIFS('Journal Entries'!$L:$L,'Journal Entries'!$K:$K,$C60,'Journal Entries'!$C:$C,"&lt;="&amp;J$8,'Journal Entries'!$C:$C,"&gt;"&amp;I$8)</f>
        <v>833.33333333333337</v>
      </c>
      <c r="K60" s="43">
        <f>SUMIFS('Journal Entries'!$L:$L,'Journal Entries'!$K:$K,$C60,'Journal Entries'!$C:$C,"&lt;="&amp;K$8,'Journal Entries'!$C:$C,"&gt;"&amp;J$8)</f>
        <v>833.33333333333337</v>
      </c>
      <c r="L60" s="43">
        <f>SUMIFS('Journal Entries'!$L:$L,'Journal Entries'!$K:$K,$C60,'Journal Entries'!$C:$C,"&lt;="&amp;L$8,'Journal Entries'!$C:$C,"&gt;"&amp;K$8)</f>
        <v>833.33333333333337</v>
      </c>
      <c r="M60" s="43">
        <f>SUMIFS('Journal Entries'!$L:$L,'Journal Entries'!$K:$K,$C60,'Journal Entries'!$C:$C,"&lt;="&amp;M$8,'Journal Entries'!$C:$C,"&gt;"&amp;L$8)</f>
        <v>833.33333333333337</v>
      </c>
      <c r="N60" s="43">
        <f>SUMIFS('Journal Entries'!$L:$L,'Journal Entries'!$K:$K,$C60,'Journal Entries'!$C:$C,"&lt;="&amp;N$8,'Journal Entries'!$C:$C,"&gt;"&amp;M$8)</f>
        <v>833.33333333333337</v>
      </c>
      <c r="O60" s="43">
        <f>SUMIFS('Journal Entries'!$L:$L,'Journal Entries'!$K:$K,$C60,'Journal Entries'!$C:$C,"&lt;="&amp;O$8,'Journal Entries'!$C:$C,"&gt;"&amp;N$8)</f>
        <v>833.33333333333337</v>
      </c>
      <c r="P60" s="43">
        <f>SUMIFS('Journal Entries'!$L:$L,'Journal Entries'!$K:$K,$C60,'Journal Entries'!$C:$C,"&lt;="&amp;P$8,'Journal Entries'!$C:$C,"&gt;"&amp;O$8)</f>
        <v>833.33333333333337</v>
      </c>
      <c r="Q60" s="43">
        <f>SUMIFS('Journal Entries'!$L:$L,'Journal Entries'!$K:$K,$C60,'Journal Entries'!$C:$C,"&lt;="&amp;Q$8,'Journal Entries'!$C:$C,"&gt;"&amp;P$8)</f>
        <v>0</v>
      </c>
      <c r="R60" s="43">
        <f>SUMIFS('Journal Entries'!$L:$L,'Journal Entries'!$K:$K,$C60,'Journal Entries'!$C:$C,"&lt;="&amp;R$8,'Journal Entries'!$C:$C,"&gt;"&amp;Q$8)</f>
        <v>0</v>
      </c>
      <c r="S60" s="43">
        <f>SUMIFS('Journal Entries'!$L:$L,'Journal Entries'!$K:$K,$C60,'Journal Entries'!$C:$C,"&lt;="&amp;S$8,'Journal Entries'!$C:$C,"&gt;"&amp;R$8)</f>
        <v>0</v>
      </c>
      <c r="T60" s="43">
        <f>SUMIFS('Journal Entries'!$L:$L,'Journal Entries'!$K:$K,$C60,'Journal Entries'!$C:$C,"&lt;="&amp;T$8,'Journal Entries'!$C:$C,"&gt;"&amp;S$8)</f>
        <v>0</v>
      </c>
      <c r="U60" s="43">
        <f>SUMIFS('Journal Entries'!$L:$L,'Journal Entries'!$K:$K,$C60,'Journal Entries'!$C:$C,"&lt;="&amp;U$8,'Journal Entries'!$C:$C,"&gt;"&amp;T$8)</f>
        <v>0</v>
      </c>
      <c r="V60" s="43">
        <f>SUMIFS('Journal Entries'!$L:$L,'Journal Entries'!$K:$K,$C60,'Journal Entries'!$C:$C,"&lt;="&amp;V$8,'Journal Entries'!$C:$C,"&gt;"&amp;U$8)</f>
        <v>0</v>
      </c>
      <c r="W60" s="43">
        <f>SUMIFS('Journal Entries'!$L:$L,'Journal Entries'!$K:$K,$C60,'Journal Entries'!$C:$C,"&lt;="&amp;W$8,'Journal Entries'!$C:$C,"&gt;"&amp;V$8)</f>
        <v>0</v>
      </c>
      <c r="X60" s="43">
        <f>SUMIFS('Journal Entries'!$L:$L,'Journal Entries'!$K:$K,$C60,'Journal Entries'!$C:$C,"&lt;="&amp;X$8,'Journal Entries'!$C:$C,"&gt;"&amp;W$8)</f>
        <v>0</v>
      </c>
      <c r="Y60" s="43">
        <f>SUMIFS('Journal Entries'!$L:$L,'Journal Entries'!$K:$K,$C60,'Journal Entries'!$C:$C,"&lt;="&amp;Y$8,'Journal Entries'!$C:$C,"&gt;"&amp;X$8)</f>
        <v>0</v>
      </c>
      <c r="Z60" s="43">
        <f>SUMIFS('Journal Entries'!$L:$L,'Journal Entries'!$K:$K,$C60,'Journal Entries'!$C:$C,"&lt;="&amp;Z$8,'Journal Entries'!$C:$C,"&gt;"&amp;Y$8)</f>
        <v>0</v>
      </c>
      <c r="AA60" s="43">
        <f>SUMIFS('Journal Entries'!$L:$L,'Journal Entries'!$K:$K,$C60,'Journal Entries'!$C:$C,"&lt;="&amp;AA$8,'Journal Entries'!$C:$C,"&gt;"&amp;Z$8)</f>
        <v>0</v>
      </c>
      <c r="AB60" s="43">
        <f>SUMIFS('Journal Entries'!$L:$L,'Journal Entries'!$K:$K,$C60,'Journal Entries'!$C:$C,"&lt;="&amp;AB$8,'Journal Entries'!$C:$C,"&gt;"&amp;AA$8)</f>
        <v>0</v>
      </c>
      <c r="AC60" s="43">
        <f>SUMIFS('Journal Entries'!$L:$L,'Journal Entries'!$K:$K,$C60,'Journal Entries'!$C:$C,"&lt;="&amp;AC$8,'Journal Entries'!$C:$C,"&gt;"&amp;AB$8)</f>
        <v>0</v>
      </c>
      <c r="AD60" s="43">
        <f>SUMIFS('Journal Entries'!$L:$L,'Journal Entries'!$K:$K,$C60,'Journal Entries'!$C:$C,"&lt;="&amp;AD$8,'Journal Entries'!$C:$C,"&gt;"&amp;AC$8)</f>
        <v>0</v>
      </c>
      <c r="AE60" s="43">
        <f>SUMIFS('Journal Entries'!$L:$L,'Journal Entries'!$K:$K,$C60,'Journal Entries'!$C:$C,"&lt;="&amp;AE$8,'Journal Entries'!$C:$C,"&gt;"&amp;AD$8)</f>
        <v>0</v>
      </c>
      <c r="AF60" s="43">
        <f>SUMIFS('Journal Entries'!$L:$L,'Journal Entries'!$K:$K,$C60,'Journal Entries'!$C:$C,"&lt;="&amp;AF$8,'Journal Entries'!$C:$C,"&gt;"&amp;AE$8)</f>
        <v>0</v>
      </c>
      <c r="AG60" s="43">
        <f>SUMIFS('Journal Entries'!$L:$L,'Journal Entries'!$K:$K,$C60,'Journal Entries'!$C:$C,"&lt;="&amp;AG$8,'Journal Entries'!$C:$C,"&gt;"&amp;AF$8)</f>
        <v>0</v>
      </c>
      <c r="AH60" s="43">
        <f>SUMIFS('Journal Entries'!$L:$L,'Journal Entries'!$K:$K,$C60,'Journal Entries'!$C:$C,"&lt;="&amp;AH$8,'Journal Entries'!$C:$C,"&gt;"&amp;AG$8)</f>
        <v>0</v>
      </c>
      <c r="AI60" s="43">
        <f>SUMIFS('Journal Entries'!$L:$L,'Journal Entries'!$K:$K,$C60,'Journal Entries'!$C:$C,"&lt;="&amp;AI$8,'Journal Entries'!$C:$C,"&gt;"&amp;AH$8)</f>
        <v>0</v>
      </c>
      <c r="AJ60" s="43">
        <f>SUMIFS('Journal Entries'!$L:$L,'Journal Entries'!$K:$K,$C60,'Journal Entries'!$C:$C,"&lt;="&amp;AJ$8,'Journal Entries'!$C:$C,"&gt;"&amp;AI$8)</f>
        <v>0</v>
      </c>
      <c r="AK60" s="43">
        <f>SUMIFS('Journal Entries'!$L:$L,'Journal Entries'!$K:$K,$C60,'Journal Entries'!$C:$C,"&lt;="&amp;AK$8,'Journal Entries'!$C:$C,"&gt;"&amp;AJ$8)</f>
        <v>0</v>
      </c>
      <c r="AL60" s="43">
        <f>SUMIFS('Journal Entries'!$L:$L,'Journal Entries'!$K:$K,$C60,'Journal Entries'!$C:$C,"&lt;="&amp;AL$8,'Journal Entries'!$C:$C,"&gt;"&amp;AK$8)</f>
        <v>0</v>
      </c>
      <c r="AM60" s="43">
        <f>SUMIFS('Journal Entries'!$L:$L,'Journal Entries'!$K:$K,$C60,'Journal Entries'!$C:$C,"&lt;="&amp;AM$8,'Journal Entries'!$C:$C,"&gt;"&amp;AL$8)</f>
        <v>0</v>
      </c>
      <c r="AN60" s="43">
        <f>SUMIFS('Journal Entries'!$L:$L,'Journal Entries'!$K:$K,$C60,'Journal Entries'!$C:$C,"&lt;="&amp;AN$8,'Journal Entries'!$C:$C,"&gt;"&amp;AM$8)</f>
        <v>0</v>
      </c>
      <c r="AO60" s="43">
        <f>SUMIFS('Journal Entries'!$L:$L,'Journal Entries'!$K:$K,$C60,'Journal Entries'!$C:$C,"&lt;="&amp;AO$8,'Journal Entries'!$C:$C,"&gt;"&amp;AN$8)</f>
        <v>0</v>
      </c>
      <c r="AP60" s="43">
        <f>SUMIFS('Journal Entries'!$L:$L,'Journal Entries'!$K:$K,$C60,'Journal Entries'!$C:$C,"&lt;="&amp;AP$8,'Journal Entries'!$C:$C,"&gt;"&amp;AO$8)</f>
        <v>0</v>
      </c>
      <c r="AQ60" s="43">
        <f>SUMIFS('Journal Entries'!$L:$L,'Journal Entries'!$K:$K,$C60,'Journal Entries'!$C:$C,"&lt;="&amp;AQ$8,'Journal Entries'!$C:$C,"&gt;"&amp;AP$8)</f>
        <v>0</v>
      </c>
      <c r="AR60" s="43">
        <f>SUMIFS('Journal Entries'!$L:$L,'Journal Entries'!$K:$K,$C60,'Journal Entries'!$C:$C,"&lt;="&amp;AR$8,'Journal Entries'!$C:$C,"&gt;"&amp;AQ$8)</f>
        <v>0</v>
      </c>
      <c r="AS60" s="43">
        <f>SUMIFS('Journal Entries'!$L:$L,'Journal Entries'!$K:$K,$C60,'Journal Entries'!$C:$C,"&lt;="&amp;AS$8,'Journal Entries'!$C:$C,"&gt;"&amp;AR$8)</f>
        <v>0</v>
      </c>
      <c r="AT60" s="43">
        <f>SUMIFS('Journal Entries'!$L:$L,'Journal Entries'!$K:$K,$C60,'Journal Entries'!$C:$C,"&lt;="&amp;AT$8,'Journal Entries'!$C:$C,"&gt;"&amp;AS$8)</f>
        <v>0</v>
      </c>
      <c r="AU60" s="43">
        <f>SUMIFS('Journal Entries'!$L:$L,'Journal Entries'!$K:$K,$C60,'Journal Entries'!$C:$C,"&lt;="&amp;AU$8,'Journal Entries'!$C:$C,"&gt;"&amp;AT$8)</f>
        <v>0</v>
      </c>
      <c r="AV60" s="43">
        <f>SUMIFS('Journal Entries'!$L:$L,'Journal Entries'!$K:$K,$C60,'Journal Entries'!$C:$C,"&lt;="&amp;AV$8,'Journal Entries'!$C:$C,"&gt;"&amp;AU$8)</f>
        <v>0</v>
      </c>
      <c r="AW60" s="43">
        <f>SUMIFS('Journal Entries'!$L:$L,'Journal Entries'!$K:$K,$C60,'Journal Entries'!$C:$C,"&lt;="&amp;AW$8,'Journal Entries'!$C:$C,"&gt;"&amp;AV$8)</f>
        <v>0</v>
      </c>
      <c r="AX60" s="43">
        <f>SUMIFS('Journal Entries'!$L:$L,'Journal Entries'!$K:$K,$C60,'Journal Entries'!$C:$C,"&lt;="&amp;AX$8,'Journal Entries'!$C:$C,"&gt;"&amp;AW$8)</f>
        <v>0</v>
      </c>
      <c r="AY60" s="43">
        <f>SUMIFS('Journal Entries'!$L:$L,'Journal Entries'!$K:$K,$C60,'Journal Entries'!$C:$C,"&lt;="&amp;AY$8,'Journal Entries'!$C:$C,"&gt;"&amp;AX$8)</f>
        <v>0</v>
      </c>
      <c r="AZ60" s="43">
        <f>SUMIFS('Journal Entries'!$L:$L,'Journal Entries'!$K:$K,$C60,'Journal Entries'!$C:$C,"&lt;="&amp;AZ$8,'Journal Entries'!$C:$C,"&gt;"&amp;AY$8)</f>
        <v>0</v>
      </c>
      <c r="BA60" s="43">
        <f>SUMIFS('Journal Entries'!$L:$L,'Journal Entries'!$K:$K,$C60,'Journal Entries'!$C:$C,"&lt;="&amp;BA$8,'Journal Entries'!$C:$C,"&gt;"&amp;AZ$8)</f>
        <v>0</v>
      </c>
      <c r="BB60" s="43">
        <f>SUMIFS('Journal Entries'!$L:$L,'Journal Entries'!$K:$K,$C60,'Journal Entries'!$C:$C,"&lt;="&amp;BB$8,'Journal Entries'!$C:$C,"&gt;"&amp;BA$8)</f>
        <v>0</v>
      </c>
      <c r="BC60" s="43">
        <f>SUMIFS('Journal Entries'!$L:$L,'Journal Entries'!$K:$K,$C60,'Journal Entries'!$C:$C,"&lt;="&amp;BC$8,'Journal Entries'!$C:$C,"&gt;"&amp;BB$8)</f>
        <v>0</v>
      </c>
      <c r="BD60" s="43">
        <f>SUMIFS('Journal Entries'!$L:$L,'Journal Entries'!$K:$K,$C60,'Journal Entries'!$C:$C,"&lt;="&amp;BD$8,'Journal Entries'!$C:$C,"&gt;"&amp;BC$8)</f>
        <v>0</v>
      </c>
      <c r="BE60" s="43">
        <f>SUMIFS('Journal Entries'!$L:$L,'Journal Entries'!$K:$K,$C60,'Journal Entries'!$C:$C,"&lt;="&amp;BE$8,'Journal Entries'!$C:$C,"&gt;"&amp;BD$8)</f>
        <v>0</v>
      </c>
      <c r="BF60" s="43">
        <f>SUMIFS('Journal Entries'!$L:$L,'Journal Entries'!$K:$K,$C60,'Journal Entries'!$C:$C,"&lt;="&amp;BF$8,'Journal Entries'!$C:$C,"&gt;"&amp;BE$8)</f>
        <v>0</v>
      </c>
      <c r="BG60" s="43">
        <f>SUMIFS('Journal Entries'!$L:$L,'Journal Entries'!$K:$K,$C60,'Journal Entries'!$C:$C,"&lt;="&amp;BG$8,'Journal Entries'!$C:$C,"&gt;"&amp;BF$8)</f>
        <v>0</v>
      </c>
      <c r="BH60" s="43">
        <f>SUMIFS('Journal Entries'!$L:$L,'Journal Entries'!$K:$K,$C60,'Journal Entries'!$C:$C,"&lt;="&amp;BH$8,'Journal Entries'!$C:$C,"&gt;"&amp;BG$8)</f>
        <v>0</v>
      </c>
      <c r="BI60" s="43">
        <f>SUMIFS('Journal Entries'!$L:$L,'Journal Entries'!$K:$K,$C60,'Journal Entries'!$C:$C,"&lt;="&amp;BI$8,'Journal Entries'!$C:$C,"&gt;"&amp;BH$8)</f>
        <v>0</v>
      </c>
      <c r="BJ60" s="43">
        <f>SUMIFS('Journal Entries'!$L:$L,'Journal Entries'!$K:$K,$C60,'Journal Entries'!$C:$C,"&lt;="&amp;BJ$8,'Journal Entries'!$C:$C,"&gt;"&amp;BI$8)</f>
        <v>0</v>
      </c>
      <c r="BK60" s="43">
        <f>SUMIFS('Journal Entries'!$L:$L,'Journal Entries'!$K:$K,$C60,'Journal Entries'!$C:$C,"&lt;="&amp;BK$8,'Journal Entries'!$C:$C,"&gt;"&amp;BJ$8)</f>
        <v>0</v>
      </c>
      <c r="BL60" s="43">
        <f>SUMIFS('Journal Entries'!$L:$L,'Journal Entries'!$K:$K,$C60,'Journal Entries'!$C:$C,"&lt;="&amp;BL$8,'Journal Entries'!$C:$C,"&gt;"&amp;BK$8)</f>
        <v>0</v>
      </c>
    </row>
    <row r="61" spans="2:64" x14ac:dyDescent="0.25">
      <c r="B61" s="10">
        <v>5090</v>
      </c>
      <c r="C61" s="10" t="str">
        <f>VLOOKUP(B61,'Chart of Accounts'!$B$3:$C$95,2,0)</f>
        <v>Due diligence fee expense</v>
      </c>
      <c r="D61" s="525">
        <f t="shared" si="2"/>
        <v>75000</v>
      </c>
      <c r="E61" s="43">
        <f>SUMIFS('Journal Entries'!$L:$L,'Journal Entries'!$K:$K,$C61,'Journal Entries'!$C:$C,"&lt;="&amp;E$8,'Journal Entries'!$C:$C,"&gt;"&amp;D$8)</f>
        <v>0</v>
      </c>
      <c r="F61" s="43">
        <f>SUMIFS('Journal Entries'!$L:$L,'Journal Entries'!$K:$K,$C61,'Journal Entries'!$C:$C,"&lt;="&amp;F$8,'Journal Entries'!$C:$C,"&gt;"&amp;E$8)</f>
        <v>75000</v>
      </c>
      <c r="G61" s="43">
        <f>SUMIFS('Journal Entries'!$L:$L,'Journal Entries'!$K:$K,$C61,'Journal Entries'!$C:$C,"&lt;="&amp;G$8,'Journal Entries'!$C:$C,"&gt;"&amp;F$8)</f>
        <v>0</v>
      </c>
      <c r="H61" s="43">
        <f>SUMIFS('Journal Entries'!$L:$L,'Journal Entries'!$K:$K,$C61,'Journal Entries'!$C:$C,"&lt;="&amp;H$8,'Journal Entries'!$C:$C,"&gt;"&amp;G$8)</f>
        <v>0</v>
      </c>
      <c r="I61" s="43">
        <f>SUMIFS('Journal Entries'!$L:$L,'Journal Entries'!$K:$K,$C61,'Journal Entries'!$C:$C,"&lt;="&amp;I$8,'Journal Entries'!$C:$C,"&gt;"&amp;H$8)</f>
        <v>0</v>
      </c>
      <c r="J61" s="43">
        <f>SUMIFS('Journal Entries'!$L:$L,'Journal Entries'!$K:$K,$C61,'Journal Entries'!$C:$C,"&lt;="&amp;J$8,'Journal Entries'!$C:$C,"&gt;"&amp;I$8)</f>
        <v>0</v>
      </c>
      <c r="K61" s="43">
        <f>SUMIFS('Journal Entries'!$L:$L,'Journal Entries'!$K:$K,$C61,'Journal Entries'!$C:$C,"&lt;="&amp;K$8,'Journal Entries'!$C:$C,"&gt;"&amp;J$8)</f>
        <v>0</v>
      </c>
      <c r="L61" s="43">
        <f>SUMIFS('Journal Entries'!$L:$L,'Journal Entries'!$K:$K,$C61,'Journal Entries'!$C:$C,"&lt;="&amp;L$8,'Journal Entries'!$C:$C,"&gt;"&amp;K$8)</f>
        <v>0</v>
      </c>
      <c r="M61" s="43">
        <f>SUMIFS('Journal Entries'!$L:$L,'Journal Entries'!$K:$K,$C61,'Journal Entries'!$C:$C,"&lt;="&amp;M$8,'Journal Entries'!$C:$C,"&gt;"&amp;L$8)</f>
        <v>0</v>
      </c>
      <c r="N61" s="43">
        <f>SUMIFS('Journal Entries'!$L:$L,'Journal Entries'!$K:$K,$C61,'Journal Entries'!$C:$C,"&lt;="&amp;N$8,'Journal Entries'!$C:$C,"&gt;"&amp;M$8)</f>
        <v>0</v>
      </c>
      <c r="O61" s="43">
        <f>SUMIFS('Journal Entries'!$L:$L,'Journal Entries'!$K:$K,$C61,'Journal Entries'!$C:$C,"&lt;="&amp;O$8,'Journal Entries'!$C:$C,"&gt;"&amp;N$8)</f>
        <v>0</v>
      </c>
      <c r="P61" s="43">
        <f>SUMIFS('Journal Entries'!$L:$L,'Journal Entries'!$K:$K,$C61,'Journal Entries'!$C:$C,"&lt;="&amp;P$8,'Journal Entries'!$C:$C,"&gt;"&amp;O$8)</f>
        <v>0</v>
      </c>
      <c r="Q61" s="43">
        <f>SUMIFS('Journal Entries'!$L:$L,'Journal Entries'!$K:$K,$C61,'Journal Entries'!$C:$C,"&lt;="&amp;Q$8,'Journal Entries'!$C:$C,"&gt;"&amp;P$8)</f>
        <v>0</v>
      </c>
      <c r="R61" s="43">
        <f>SUMIFS('Journal Entries'!$L:$L,'Journal Entries'!$K:$K,$C61,'Journal Entries'!$C:$C,"&lt;="&amp;R$8,'Journal Entries'!$C:$C,"&gt;"&amp;Q$8)</f>
        <v>0</v>
      </c>
      <c r="S61" s="43">
        <f>SUMIFS('Journal Entries'!$L:$L,'Journal Entries'!$K:$K,$C61,'Journal Entries'!$C:$C,"&lt;="&amp;S$8,'Journal Entries'!$C:$C,"&gt;"&amp;R$8)</f>
        <v>0</v>
      </c>
      <c r="T61" s="43">
        <f>SUMIFS('Journal Entries'!$L:$L,'Journal Entries'!$K:$K,$C61,'Journal Entries'!$C:$C,"&lt;="&amp;T$8,'Journal Entries'!$C:$C,"&gt;"&amp;S$8)</f>
        <v>0</v>
      </c>
      <c r="U61" s="43">
        <f>SUMIFS('Journal Entries'!$L:$L,'Journal Entries'!$K:$K,$C61,'Journal Entries'!$C:$C,"&lt;="&amp;U$8,'Journal Entries'!$C:$C,"&gt;"&amp;T$8)</f>
        <v>0</v>
      </c>
      <c r="V61" s="43">
        <f>SUMIFS('Journal Entries'!$L:$L,'Journal Entries'!$K:$K,$C61,'Journal Entries'!$C:$C,"&lt;="&amp;V$8,'Journal Entries'!$C:$C,"&gt;"&amp;U$8)</f>
        <v>0</v>
      </c>
      <c r="W61" s="43">
        <f>SUMIFS('Journal Entries'!$L:$L,'Journal Entries'!$K:$K,$C61,'Journal Entries'!$C:$C,"&lt;="&amp;W$8,'Journal Entries'!$C:$C,"&gt;"&amp;V$8)</f>
        <v>0</v>
      </c>
      <c r="X61" s="43">
        <f>SUMIFS('Journal Entries'!$L:$L,'Journal Entries'!$K:$K,$C61,'Journal Entries'!$C:$C,"&lt;="&amp;X$8,'Journal Entries'!$C:$C,"&gt;"&amp;W$8)</f>
        <v>0</v>
      </c>
      <c r="Y61" s="43">
        <f>SUMIFS('Journal Entries'!$L:$L,'Journal Entries'!$K:$K,$C61,'Journal Entries'!$C:$C,"&lt;="&amp;Y$8,'Journal Entries'!$C:$C,"&gt;"&amp;X$8)</f>
        <v>0</v>
      </c>
      <c r="Z61" s="43">
        <f>SUMIFS('Journal Entries'!$L:$L,'Journal Entries'!$K:$K,$C61,'Journal Entries'!$C:$C,"&lt;="&amp;Z$8,'Journal Entries'!$C:$C,"&gt;"&amp;Y$8)</f>
        <v>0</v>
      </c>
      <c r="AA61" s="43">
        <f>SUMIFS('Journal Entries'!$L:$L,'Journal Entries'!$K:$K,$C61,'Journal Entries'!$C:$C,"&lt;="&amp;AA$8,'Journal Entries'!$C:$C,"&gt;"&amp;Z$8)</f>
        <v>0</v>
      </c>
      <c r="AB61" s="43">
        <f>SUMIFS('Journal Entries'!$L:$L,'Journal Entries'!$K:$K,$C61,'Journal Entries'!$C:$C,"&lt;="&amp;AB$8,'Journal Entries'!$C:$C,"&gt;"&amp;AA$8)</f>
        <v>0</v>
      </c>
      <c r="AC61" s="43">
        <f>SUMIFS('Journal Entries'!$L:$L,'Journal Entries'!$K:$K,$C61,'Journal Entries'!$C:$C,"&lt;="&amp;AC$8,'Journal Entries'!$C:$C,"&gt;"&amp;AB$8)</f>
        <v>0</v>
      </c>
      <c r="AD61" s="43">
        <f>SUMIFS('Journal Entries'!$L:$L,'Journal Entries'!$K:$K,$C61,'Journal Entries'!$C:$C,"&lt;="&amp;AD$8,'Journal Entries'!$C:$C,"&gt;"&amp;AC$8)</f>
        <v>0</v>
      </c>
      <c r="AE61" s="43">
        <f>SUMIFS('Journal Entries'!$L:$L,'Journal Entries'!$K:$K,$C61,'Journal Entries'!$C:$C,"&lt;="&amp;AE$8,'Journal Entries'!$C:$C,"&gt;"&amp;AD$8)</f>
        <v>0</v>
      </c>
      <c r="AF61" s="43">
        <f>SUMIFS('Journal Entries'!$L:$L,'Journal Entries'!$K:$K,$C61,'Journal Entries'!$C:$C,"&lt;="&amp;AF$8,'Journal Entries'!$C:$C,"&gt;"&amp;AE$8)</f>
        <v>0</v>
      </c>
      <c r="AG61" s="43">
        <f>SUMIFS('Journal Entries'!$L:$L,'Journal Entries'!$K:$K,$C61,'Journal Entries'!$C:$C,"&lt;="&amp;AG$8,'Journal Entries'!$C:$C,"&gt;"&amp;AF$8)</f>
        <v>0</v>
      </c>
      <c r="AH61" s="43">
        <f>SUMIFS('Journal Entries'!$L:$L,'Journal Entries'!$K:$K,$C61,'Journal Entries'!$C:$C,"&lt;="&amp;AH$8,'Journal Entries'!$C:$C,"&gt;"&amp;AG$8)</f>
        <v>0</v>
      </c>
      <c r="AI61" s="43">
        <f>SUMIFS('Journal Entries'!$L:$L,'Journal Entries'!$K:$K,$C61,'Journal Entries'!$C:$C,"&lt;="&amp;AI$8,'Journal Entries'!$C:$C,"&gt;"&amp;AH$8)</f>
        <v>0</v>
      </c>
      <c r="AJ61" s="43">
        <f>SUMIFS('Journal Entries'!$L:$L,'Journal Entries'!$K:$K,$C61,'Journal Entries'!$C:$C,"&lt;="&amp;AJ$8,'Journal Entries'!$C:$C,"&gt;"&amp;AI$8)</f>
        <v>0</v>
      </c>
      <c r="AK61" s="43">
        <f>SUMIFS('Journal Entries'!$L:$L,'Journal Entries'!$K:$K,$C61,'Journal Entries'!$C:$C,"&lt;="&amp;AK$8,'Journal Entries'!$C:$C,"&gt;"&amp;AJ$8)</f>
        <v>0</v>
      </c>
      <c r="AL61" s="43">
        <f>SUMIFS('Journal Entries'!$L:$L,'Journal Entries'!$K:$K,$C61,'Journal Entries'!$C:$C,"&lt;="&amp;AL$8,'Journal Entries'!$C:$C,"&gt;"&amp;AK$8)</f>
        <v>0</v>
      </c>
      <c r="AM61" s="43">
        <f>SUMIFS('Journal Entries'!$L:$L,'Journal Entries'!$K:$K,$C61,'Journal Entries'!$C:$C,"&lt;="&amp;AM$8,'Journal Entries'!$C:$C,"&gt;"&amp;AL$8)</f>
        <v>0</v>
      </c>
      <c r="AN61" s="43">
        <f>SUMIFS('Journal Entries'!$L:$L,'Journal Entries'!$K:$K,$C61,'Journal Entries'!$C:$C,"&lt;="&amp;AN$8,'Journal Entries'!$C:$C,"&gt;"&amp;AM$8)</f>
        <v>0</v>
      </c>
      <c r="AO61" s="43">
        <f>SUMIFS('Journal Entries'!$L:$L,'Journal Entries'!$K:$K,$C61,'Journal Entries'!$C:$C,"&lt;="&amp;AO$8,'Journal Entries'!$C:$C,"&gt;"&amp;AN$8)</f>
        <v>0</v>
      </c>
      <c r="AP61" s="43">
        <f>SUMIFS('Journal Entries'!$L:$L,'Journal Entries'!$K:$K,$C61,'Journal Entries'!$C:$C,"&lt;="&amp;AP$8,'Journal Entries'!$C:$C,"&gt;"&amp;AO$8)</f>
        <v>0</v>
      </c>
      <c r="AQ61" s="43">
        <f>SUMIFS('Journal Entries'!$L:$L,'Journal Entries'!$K:$K,$C61,'Journal Entries'!$C:$C,"&lt;="&amp;AQ$8,'Journal Entries'!$C:$C,"&gt;"&amp;AP$8)</f>
        <v>0</v>
      </c>
      <c r="AR61" s="43">
        <f>SUMIFS('Journal Entries'!$L:$L,'Journal Entries'!$K:$K,$C61,'Journal Entries'!$C:$C,"&lt;="&amp;AR$8,'Journal Entries'!$C:$C,"&gt;"&amp;AQ$8)</f>
        <v>0</v>
      </c>
      <c r="AS61" s="43">
        <f>SUMIFS('Journal Entries'!$L:$L,'Journal Entries'!$K:$K,$C61,'Journal Entries'!$C:$C,"&lt;="&amp;AS$8,'Journal Entries'!$C:$C,"&gt;"&amp;AR$8)</f>
        <v>0</v>
      </c>
      <c r="AT61" s="43">
        <f>SUMIFS('Journal Entries'!$L:$L,'Journal Entries'!$K:$K,$C61,'Journal Entries'!$C:$C,"&lt;="&amp;AT$8,'Journal Entries'!$C:$C,"&gt;"&amp;AS$8)</f>
        <v>0</v>
      </c>
      <c r="AU61" s="43">
        <f>SUMIFS('Journal Entries'!$L:$L,'Journal Entries'!$K:$K,$C61,'Journal Entries'!$C:$C,"&lt;="&amp;AU$8,'Journal Entries'!$C:$C,"&gt;"&amp;AT$8)</f>
        <v>0</v>
      </c>
      <c r="AV61" s="43">
        <f>SUMIFS('Journal Entries'!$L:$L,'Journal Entries'!$K:$K,$C61,'Journal Entries'!$C:$C,"&lt;="&amp;AV$8,'Journal Entries'!$C:$C,"&gt;"&amp;AU$8)</f>
        <v>0</v>
      </c>
      <c r="AW61" s="43">
        <f>SUMIFS('Journal Entries'!$L:$L,'Journal Entries'!$K:$K,$C61,'Journal Entries'!$C:$C,"&lt;="&amp;AW$8,'Journal Entries'!$C:$C,"&gt;"&amp;AV$8)</f>
        <v>0</v>
      </c>
      <c r="AX61" s="43">
        <f>SUMIFS('Journal Entries'!$L:$L,'Journal Entries'!$K:$K,$C61,'Journal Entries'!$C:$C,"&lt;="&amp;AX$8,'Journal Entries'!$C:$C,"&gt;"&amp;AW$8)</f>
        <v>0</v>
      </c>
      <c r="AY61" s="43">
        <f>SUMIFS('Journal Entries'!$L:$L,'Journal Entries'!$K:$K,$C61,'Journal Entries'!$C:$C,"&lt;="&amp;AY$8,'Journal Entries'!$C:$C,"&gt;"&amp;AX$8)</f>
        <v>0</v>
      </c>
      <c r="AZ61" s="43">
        <f>SUMIFS('Journal Entries'!$L:$L,'Journal Entries'!$K:$K,$C61,'Journal Entries'!$C:$C,"&lt;="&amp;AZ$8,'Journal Entries'!$C:$C,"&gt;"&amp;AY$8)</f>
        <v>0</v>
      </c>
      <c r="BA61" s="43">
        <f>SUMIFS('Journal Entries'!$L:$L,'Journal Entries'!$K:$K,$C61,'Journal Entries'!$C:$C,"&lt;="&amp;BA$8,'Journal Entries'!$C:$C,"&gt;"&amp;AZ$8)</f>
        <v>0</v>
      </c>
      <c r="BB61" s="43">
        <f>SUMIFS('Journal Entries'!$L:$L,'Journal Entries'!$K:$K,$C61,'Journal Entries'!$C:$C,"&lt;="&amp;BB$8,'Journal Entries'!$C:$C,"&gt;"&amp;BA$8)</f>
        <v>0</v>
      </c>
      <c r="BC61" s="43">
        <f>SUMIFS('Journal Entries'!$L:$L,'Journal Entries'!$K:$K,$C61,'Journal Entries'!$C:$C,"&lt;="&amp;BC$8,'Journal Entries'!$C:$C,"&gt;"&amp;BB$8)</f>
        <v>0</v>
      </c>
      <c r="BD61" s="43">
        <f>SUMIFS('Journal Entries'!$L:$L,'Journal Entries'!$K:$K,$C61,'Journal Entries'!$C:$C,"&lt;="&amp;BD$8,'Journal Entries'!$C:$C,"&gt;"&amp;BC$8)</f>
        <v>0</v>
      </c>
      <c r="BE61" s="43">
        <f>SUMIFS('Journal Entries'!$L:$L,'Journal Entries'!$K:$K,$C61,'Journal Entries'!$C:$C,"&lt;="&amp;BE$8,'Journal Entries'!$C:$C,"&gt;"&amp;BD$8)</f>
        <v>0</v>
      </c>
      <c r="BF61" s="43">
        <f>SUMIFS('Journal Entries'!$L:$L,'Journal Entries'!$K:$K,$C61,'Journal Entries'!$C:$C,"&lt;="&amp;BF$8,'Journal Entries'!$C:$C,"&gt;"&amp;BE$8)</f>
        <v>0</v>
      </c>
      <c r="BG61" s="43">
        <f>SUMIFS('Journal Entries'!$L:$L,'Journal Entries'!$K:$K,$C61,'Journal Entries'!$C:$C,"&lt;="&amp;BG$8,'Journal Entries'!$C:$C,"&gt;"&amp;BF$8)</f>
        <v>0</v>
      </c>
      <c r="BH61" s="43">
        <f>SUMIFS('Journal Entries'!$L:$L,'Journal Entries'!$K:$K,$C61,'Journal Entries'!$C:$C,"&lt;="&amp;BH$8,'Journal Entries'!$C:$C,"&gt;"&amp;BG$8)</f>
        <v>0</v>
      </c>
      <c r="BI61" s="43">
        <f>SUMIFS('Journal Entries'!$L:$L,'Journal Entries'!$K:$K,$C61,'Journal Entries'!$C:$C,"&lt;="&amp;BI$8,'Journal Entries'!$C:$C,"&gt;"&amp;BH$8)</f>
        <v>0</v>
      </c>
      <c r="BJ61" s="43">
        <f>SUMIFS('Journal Entries'!$L:$L,'Journal Entries'!$K:$K,$C61,'Journal Entries'!$C:$C,"&lt;="&amp;BJ$8,'Journal Entries'!$C:$C,"&gt;"&amp;BI$8)</f>
        <v>0</v>
      </c>
      <c r="BK61" s="43">
        <f>SUMIFS('Journal Entries'!$L:$L,'Journal Entries'!$K:$K,$C61,'Journal Entries'!$C:$C,"&lt;="&amp;BK$8,'Journal Entries'!$C:$C,"&gt;"&amp;BJ$8)</f>
        <v>0</v>
      </c>
      <c r="BL61" s="43">
        <f>SUMIFS('Journal Entries'!$L:$L,'Journal Entries'!$K:$K,$C61,'Journal Entries'!$C:$C,"&lt;="&amp;BL$8,'Journal Entries'!$C:$C,"&gt;"&amp;BK$8)</f>
        <v>0</v>
      </c>
    </row>
    <row r="62" spans="2:64" x14ac:dyDescent="0.25">
      <c r="B62" s="10">
        <v>5100</v>
      </c>
      <c r="C62" s="10" t="str">
        <f>VLOOKUP(B62,'Chart of Accounts'!$B$3:$C$95,2,0)</f>
        <v>Other professional fee expense</v>
      </c>
      <c r="D62" s="525">
        <f t="shared" si="2"/>
        <v>30000</v>
      </c>
      <c r="E62" s="43">
        <f>SUMIFS('Journal Entries'!$L:$L,'Journal Entries'!$K:$K,$C62,'Journal Entries'!$C:$C,"&lt;="&amp;E$8,'Journal Entries'!$C:$C,"&gt;"&amp;D$8)</f>
        <v>2500</v>
      </c>
      <c r="F62" s="43">
        <f>SUMIFS('Journal Entries'!$L:$L,'Journal Entries'!$K:$K,$C62,'Journal Entries'!$C:$C,"&lt;="&amp;F$8,'Journal Entries'!$C:$C,"&gt;"&amp;E$8)</f>
        <v>2500</v>
      </c>
      <c r="G62" s="43">
        <f>SUMIFS('Journal Entries'!$L:$L,'Journal Entries'!$K:$K,$C62,'Journal Entries'!$C:$C,"&lt;="&amp;G$8,'Journal Entries'!$C:$C,"&gt;"&amp;F$8)</f>
        <v>2500</v>
      </c>
      <c r="H62" s="43">
        <f>SUMIFS('Journal Entries'!$L:$L,'Journal Entries'!$K:$K,$C62,'Journal Entries'!$C:$C,"&lt;="&amp;H$8,'Journal Entries'!$C:$C,"&gt;"&amp;G$8)</f>
        <v>2500</v>
      </c>
      <c r="I62" s="43">
        <f>SUMIFS('Journal Entries'!$L:$L,'Journal Entries'!$K:$K,$C62,'Journal Entries'!$C:$C,"&lt;="&amp;I$8,'Journal Entries'!$C:$C,"&gt;"&amp;H$8)</f>
        <v>2500</v>
      </c>
      <c r="J62" s="43">
        <f>SUMIFS('Journal Entries'!$L:$L,'Journal Entries'!$K:$K,$C62,'Journal Entries'!$C:$C,"&lt;="&amp;J$8,'Journal Entries'!$C:$C,"&gt;"&amp;I$8)</f>
        <v>2500</v>
      </c>
      <c r="K62" s="43">
        <f>SUMIFS('Journal Entries'!$L:$L,'Journal Entries'!$K:$K,$C62,'Journal Entries'!$C:$C,"&lt;="&amp;K$8,'Journal Entries'!$C:$C,"&gt;"&amp;J$8)</f>
        <v>2500</v>
      </c>
      <c r="L62" s="43">
        <f>SUMIFS('Journal Entries'!$L:$L,'Journal Entries'!$K:$K,$C62,'Journal Entries'!$C:$C,"&lt;="&amp;L$8,'Journal Entries'!$C:$C,"&gt;"&amp;K$8)</f>
        <v>2500</v>
      </c>
      <c r="M62" s="43">
        <f>SUMIFS('Journal Entries'!$L:$L,'Journal Entries'!$K:$K,$C62,'Journal Entries'!$C:$C,"&lt;="&amp;M$8,'Journal Entries'!$C:$C,"&gt;"&amp;L$8)</f>
        <v>2500</v>
      </c>
      <c r="N62" s="43">
        <f>SUMIFS('Journal Entries'!$L:$L,'Journal Entries'!$K:$K,$C62,'Journal Entries'!$C:$C,"&lt;="&amp;N$8,'Journal Entries'!$C:$C,"&gt;"&amp;M$8)</f>
        <v>2500</v>
      </c>
      <c r="O62" s="43">
        <f>SUMIFS('Journal Entries'!$L:$L,'Journal Entries'!$K:$K,$C62,'Journal Entries'!$C:$C,"&lt;="&amp;O$8,'Journal Entries'!$C:$C,"&gt;"&amp;N$8)</f>
        <v>2500</v>
      </c>
      <c r="P62" s="43">
        <f>SUMIFS('Journal Entries'!$L:$L,'Journal Entries'!$K:$K,$C62,'Journal Entries'!$C:$C,"&lt;="&amp;P$8,'Journal Entries'!$C:$C,"&gt;"&amp;O$8)</f>
        <v>2500</v>
      </c>
      <c r="Q62" s="43">
        <f>SUMIFS('Journal Entries'!$L:$L,'Journal Entries'!$K:$K,$C62,'Journal Entries'!$C:$C,"&lt;="&amp;Q$8,'Journal Entries'!$C:$C,"&gt;"&amp;P$8)</f>
        <v>0</v>
      </c>
      <c r="R62" s="43">
        <f>SUMIFS('Journal Entries'!$L:$L,'Journal Entries'!$K:$K,$C62,'Journal Entries'!$C:$C,"&lt;="&amp;R$8,'Journal Entries'!$C:$C,"&gt;"&amp;Q$8)</f>
        <v>0</v>
      </c>
      <c r="S62" s="43">
        <f>SUMIFS('Journal Entries'!$L:$L,'Journal Entries'!$K:$K,$C62,'Journal Entries'!$C:$C,"&lt;="&amp;S$8,'Journal Entries'!$C:$C,"&gt;"&amp;R$8)</f>
        <v>0</v>
      </c>
      <c r="T62" s="43">
        <f>SUMIFS('Journal Entries'!$L:$L,'Journal Entries'!$K:$K,$C62,'Journal Entries'!$C:$C,"&lt;="&amp;T$8,'Journal Entries'!$C:$C,"&gt;"&amp;S$8)</f>
        <v>0</v>
      </c>
      <c r="U62" s="43">
        <f>SUMIFS('Journal Entries'!$L:$L,'Journal Entries'!$K:$K,$C62,'Journal Entries'!$C:$C,"&lt;="&amp;U$8,'Journal Entries'!$C:$C,"&gt;"&amp;T$8)</f>
        <v>0</v>
      </c>
      <c r="V62" s="43">
        <f>SUMIFS('Journal Entries'!$L:$L,'Journal Entries'!$K:$K,$C62,'Journal Entries'!$C:$C,"&lt;="&amp;V$8,'Journal Entries'!$C:$C,"&gt;"&amp;U$8)</f>
        <v>0</v>
      </c>
      <c r="W62" s="43">
        <f>SUMIFS('Journal Entries'!$L:$L,'Journal Entries'!$K:$K,$C62,'Journal Entries'!$C:$C,"&lt;="&amp;W$8,'Journal Entries'!$C:$C,"&gt;"&amp;V$8)</f>
        <v>0</v>
      </c>
      <c r="X62" s="43">
        <f>SUMIFS('Journal Entries'!$L:$L,'Journal Entries'!$K:$K,$C62,'Journal Entries'!$C:$C,"&lt;="&amp;X$8,'Journal Entries'!$C:$C,"&gt;"&amp;W$8)</f>
        <v>0</v>
      </c>
      <c r="Y62" s="43">
        <f>SUMIFS('Journal Entries'!$L:$L,'Journal Entries'!$K:$K,$C62,'Journal Entries'!$C:$C,"&lt;="&amp;Y$8,'Journal Entries'!$C:$C,"&gt;"&amp;X$8)</f>
        <v>0</v>
      </c>
      <c r="Z62" s="43">
        <f>SUMIFS('Journal Entries'!$L:$L,'Journal Entries'!$K:$K,$C62,'Journal Entries'!$C:$C,"&lt;="&amp;Z$8,'Journal Entries'!$C:$C,"&gt;"&amp;Y$8)</f>
        <v>0</v>
      </c>
      <c r="AA62" s="43">
        <f>SUMIFS('Journal Entries'!$L:$L,'Journal Entries'!$K:$K,$C62,'Journal Entries'!$C:$C,"&lt;="&amp;AA$8,'Journal Entries'!$C:$C,"&gt;"&amp;Z$8)</f>
        <v>0</v>
      </c>
      <c r="AB62" s="43">
        <f>SUMIFS('Journal Entries'!$L:$L,'Journal Entries'!$K:$K,$C62,'Journal Entries'!$C:$C,"&lt;="&amp;AB$8,'Journal Entries'!$C:$C,"&gt;"&amp;AA$8)</f>
        <v>0</v>
      </c>
      <c r="AC62" s="43">
        <f>SUMIFS('Journal Entries'!$L:$L,'Journal Entries'!$K:$K,$C62,'Journal Entries'!$C:$C,"&lt;="&amp;AC$8,'Journal Entries'!$C:$C,"&gt;"&amp;AB$8)</f>
        <v>0</v>
      </c>
      <c r="AD62" s="43">
        <f>SUMIFS('Journal Entries'!$L:$L,'Journal Entries'!$K:$K,$C62,'Journal Entries'!$C:$C,"&lt;="&amp;AD$8,'Journal Entries'!$C:$C,"&gt;"&amp;AC$8)</f>
        <v>0</v>
      </c>
      <c r="AE62" s="43">
        <f>SUMIFS('Journal Entries'!$L:$L,'Journal Entries'!$K:$K,$C62,'Journal Entries'!$C:$C,"&lt;="&amp;AE$8,'Journal Entries'!$C:$C,"&gt;"&amp;AD$8)</f>
        <v>0</v>
      </c>
      <c r="AF62" s="43">
        <f>SUMIFS('Journal Entries'!$L:$L,'Journal Entries'!$K:$K,$C62,'Journal Entries'!$C:$C,"&lt;="&amp;AF$8,'Journal Entries'!$C:$C,"&gt;"&amp;AE$8)</f>
        <v>0</v>
      </c>
      <c r="AG62" s="43">
        <f>SUMIFS('Journal Entries'!$L:$L,'Journal Entries'!$K:$K,$C62,'Journal Entries'!$C:$C,"&lt;="&amp;AG$8,'Journal Entries'!$C:$C,"&gt;"&amp;AF$8)</f>
        <v>0</v>
      </c>
      <c r="AH62" s="43">
        <f>SUMIFS('Journal Entries'!$L:$L,'Journal Entries'!$K:$K,$C62,'Journal Entries'!$C:$C,"&lt;="&amp;AH$8,'Journal Entries'!$C:$C,"&gt;"&amp;AG$8)</f>
        <v>0</v>
      </c>
      <c r="AI62" s="43">
        <f>SUMIFS('Journal Entries'!$L:$L,'Journal Entries'!$K:$K,$C62,'Journal Entries'!$C:$C,"&lt;="&amp;AI$8,'Journal Entries'!$C:$C,"&gt;"&amp;AH$8)</f>
        <v>0</v>
      </c>
      <c r="AJ62" s="43">
        <f>SUMIFS('Journal Entries'!$L:$L,'Journal Entries'!$K:$K,$C62,'Journal Entries'!$C:$C,"&lt;="&amp;AJ$8,'Journal Entries'!$C:$C,"&gt;"&amp;AI$8)</f>
        <v>0</v>
      </c>
      <c r="AK62" s="43">
        <f>SUMIFS('Journal Entries'!$L:$L,'Journal Entries'!$K:$K,$C62,'Journal Entries'!$C:$C,"&lt;="&amp;AK$8,'Journal Entries'!$C:$C,"&gt;"&amp;AJ$8)</f>
        <v>0</v>
      </c>
      <c r="AL62" s="43">
        <f>SUMIFS('Journal Entries'!$L:$L,'Journal Entries'!$K:$K,$C62,'Journal Entries'!$C:$C,"&lt;="&amp;AL$8,'Journal Entries'!$C:$C,"&gt;"&amp;AK$8)</f>
        <v>0</v>
      </c>
      <c r="AM62" s="43">
        <f>SUMIFS('Journal Entries'!$L:$L,'Journal Entries'!$K:$K,$C62,'Journal Entries'!$C:$C,"&lt;="&amp;AM$8,'Journal Entries'!$C:$C,"&gt;"&amp;AL$8)</f>
        <v>0</v>
      </c>
      <c r="AN62" s="43">
        <f>SUMIFS('Journal Entries'!$L:$L,'Journal Entries'!$K:$K,$C62,'Journal Entries'!$C:$C,"&lt;="&amp;AN$8,'Journal Entries'!$C:$C,"&gt;"&amp;AM$8)</f>
        <v>0</v>
      </c>
      <c r="AO62" s="43">
        <f>SUMIFS('Journal Entries'!$L:$L,'Journal Entries'!$K:$K,$C62,'Journal Entries'!$C:$C,"&lt;="&amp;AO$8,'Journal Entries'!$C:$C,"&gt;"&amp;AN$8)</f>
        <v>0</v>
      </c>
      <c r="AP62" s="43">
        <f>SUMIFS('Journal Entries'!$L:$L,'Journal Entries'!$K:$K,$C62,'Journal Entries'!$C:$C,"&lt;="&amp;AP$8,'Journal Entries'!$C:$C,"&gt;"&amp;AO$8)</f>
        <v>0</v>
      </c>
      <c r="AQ62" s="43">
        <f>SUMIFS('Journal Entries'!$L:$L,'Journal Entries'!$K:$K,$C62,'Journal Entries'!$C:$C,"&lt;="&amp;AQ$8,'Journal Entries'!$C:$C,"&gt;"&amp;AP$8)</f>
        <v>0</v>
      </c>
      <c r="AR62" s="43">
        <f>SUMIFS('Journal Entries'!$L:$L,'Journal Entries'!$K:$K,$C62,'Journal Entries'!$C:$C,"&lt;="&amp;AR$8,'Journal Entries'!$C:$C,"&gt;"&amp;AQ$8)</f>
        <v>0</v>
      </c>
      <c r="AS62" s="43">
        <f>SUMIFS('Journal Entries'!$L:$L,'Journal Entries'!$K:$K,$C62,'Journal Entries'!$C:$C,"&lt;="&amp;AS$8,'Journal Entries'!$C:$C,"&gt;"&amp;AR$8)</f>
        <v>0</v>
      </c>
      <c r="AT62" s="43">
        <f>SUMIFS('Journal Entries'!$L:$L,'Journal Entries'!$K:$K,$C62,'Journal Entries'!$C:$C,"&lt;="&amp;AT$8,'Journal Entries'!$C:$C,"&gt;"&amp;AS$8)</f>
        <v>0</v>
      </c>
      <c r="AU62" s="43">
        <f>SUMIFS('Journal Entries'!$L:$L,'Journal Entries'!$K:$K,$C62,'Journal Entries'!$C:$C,"&lt;="&amp;AU$8,'Journal Entries'!$C:$C,"&gt;"&amp;AT$8)</f>
        <v>0</v>
      </c>
      <c r="AV62" s="43">
        <f>SUMIFS('Journal Entries'!$L:$L,'Journal Entries'!$K:$K,$C62,'Journal Entries'!$C:$C,"&lt;="&amp;AV$8,'Journal Entries'!$C:$C,"&gt;"&amp;AU$8)</f>
        <v>0</v>
      </c>
      <c r="AW62" s="43">
        <f>SUMIFS('Journal Entries'!$L:$L,'Journal Entries'!$K:$K,$C62,'Journal Entries'!$C:$C,"&lt;="&amp;AW$8,'Journal Entries'!$C:$C,"&gt;"&amp;AV$8)</f>
        <v>0</v>
      </c>
      <c r="AX62" s="43">
        <f>SUMIFS('Journal Entries'!$L:$L,'Journal Entries'!$K:$K,$C62,'Journal Entries'!$C:$C,"&lt;="&amp;AX$8,'Journal Entries'!$C:$C,"&gt;"&amp;AW$8)</f>
        <v>0</v>
      </c>
      <c r="AY62" s="43">
        <f>SUMIFS('Journal Entries'!$L:$L,'Journal Entries'!$K:$K,$C62,'Journal Entries'!$C:$C,"&lt;="&amp;AY$8,'Journal Entries'!$C:$C,"&gt;"&amp;AX$8)</f>
        <v>0</v>
      </c>
      <c r="AZ62" s="43">
        <f>SUMIFS('Journal Entries'!$L:$L,'Journal Entries'!$K:$K,$C62,'Journal Entries'!$C:$C,"&lt;="&amp;AZ$8,'Journal Entries'!$C:$C,"&gt;"&amp;AY$8)</f>
        <v>0</v>
      </c>
      <c r="BA62" s="43">
        <f>SUMIFS('Journal Entries'!$L:$L,'Journal Entries'!$K:$K,$C62,'Journal Entries'!$C:$C,"&lt;="&amp;BA$8,'Journal Entries'!$C:$C,"&gt;"&amp;AZ$8)</f>
        <v>0</v>
      </c>
      <c r="BB62" s="43">
        <f>SUMIFS('Journal Entries'!$L:$L,'Journal Entries'!$K:$K,$C62,'Journal Entries'!$C:$C,"&lt;="&amp;BB$8,'Journal Entries'!$C:$C,"&gt;"&amp;BA$8)</f>
        <v>0</v>
      </c>
      <c r="BC62" s="43">
        <f>SUMIFS('Journal Entries'!$L:$L,'Journal Entries'!$K:$K,$C62,'Journal Entries'!$C:$C,"&lt;="&amp;BC$8,'Journal Entries'!$C:$C,"&gt;"&amp;BB$8)</f>
        <v>0</v>
      </c>
      <c r="BD62" s="43">
        <f>SUMIFS('Journal Entries'!$L:$L,'Journal Entries'!$K:$K,$C62,'Journal Entries'!$C:$C,"&lt;="&amp;BD$8,'Journal Entries'!$C:$C,"&gt;"&amp;BC$8)</f>
        <v>0</v>
      </c>
      <c r="BE62" s="43">
        <f>SUMIFS('Journal Entries'!$L:$L,'Journal Entries'!$K:$K,$C62,'Journal Entries'!$C:$C,"&lt;="&amp;BE$8,'Journal Entries'!$C:$C,"&gt;"&amp;BD$8)</f>
        <v>0</v>
      </c>
      <c r="BF62" s="43">
        <f>SUMIFS('Journal Entries'!$L:$L,'Journal Entries'!$K:$K,$C62,'Journal Entries'!$C:$C,"&lt;="&amp;BF$8,'Journal Entries'!$C:$C,"&gt;"&amp;BE$8)</f>
        <v>0</v>
      </c>
      <c r="BG62" s="43">
        <f>SUMIFS('Journal Entries'!$L:$L,'Journal Entries'!$K:$K,$C62,'Journal Entries'!$C:$C,"&lt;="&amp;BG$8,'Journal Entries'!$C:$C,"&gt;"&amp;BF$8)</f>
        <v>0</v>
      </c>
      <c r="BH62" s="43">
        <f>SUMIFS('Journal Entries'!$L:$L,'Journal Entries'!$K:$K,$C62,'Journal Entries'!$C:$C,"&lt;="&amp;BH$8,'Journal Entries'!$C:$C,"&gt;"&amp;BG$8)</f>
        <v>0</v>
      </c>
      <c r="BI62" s="43">
        <f>SUMIFS('Journal Entries'!$L:$L,'Journal Entries'!$K:$K,$C62,'Journal Entries'!$C:$C,"&lt;="&amp;BI$8,'Journal Entries'!$C:$C,"&gt;"&amp;BH$8)</f>
        <v>0</v>
      </c>
      <c r="BJ62" s="43">
        <f>SUMIFS('Journal Entries'!$L:$L,'Journal Entries'!$K:$K,$C62,'Journal Entries'!$C:$C,"&lt;="&amp;BJ$8,'Journal Entries'!$C:$C,"&gt;"&amp;BI$8)</f>
        <v>0</v>
      </c>
      <c r="BK62" s="43">
        <f>SUMIFS('Journal Entries'!$L:$L,'Journal Entries'!$K:$K,$C62,'Journal Entries'!$C:$C,"&lt;="&amp;BK$8,'Journal Entries'!$C:$C,"&gt;"&amp;BJ$8)</f>
        <v>0</v>
      </c>
      <c r="BL62" s="43">
        <f>SUMIFS('Journal Entries'!$L:$L,'Journal Entries'!$K:$K,$C62,'Journal Entries'!$C:$C,"&lt;="&amp;BL$8,'Journal Entries'!$C:$C,"&gt;"&amp;BK$8)</f>
        <v>0</v>
      </c>
    </row>
    <row r="63" spans="2:64" x14ac:dyDescent="0.25">
      <c r="B63" s="10">
        <v>5110</v>
      </c>
      <c r="C63" s="10" t="str">
        <f>VLOOKUP(B63,'Chart of Accounts'!$B$3:$C$95,2,0)</f>
        <v>Interest expense</v>
      </c>
      <c r="D63" s="525">
        <f t="shared" si="2"/>
        <v>0</v>
      </c>
      <c r="E63" s="43">
        <f>SUMIFS('Journal Entries'!$L:$L,'Journal Entries'!$K:$K,$C63,'Journal Entries'!$C:$C,"&lt;="&amp;E$8,'Journal Entries'!$C:$C,"&gt;"&amp;D$8)</f>
        <v>0</v>
      </c>
      <c r="F63" s="43">
        <f>SUMIFS('Journal Entries'!$L:$L,'Journal Entries'!$K:$K,$C63,'Journal Entries'!$C:$C,"&lt;="&amp;F$8,'Journal Entries'!$C:$C,"&gt;"&amp;E$8)</f>
        <v>0</v>
      </c>
      <c r="G63" s="43">
        <f>SUMIFS('Journal Entries'!$L:$L,'Journal Entries'!$K:$K,$C63,'Journal Entries'!$C:$C,"&lt;="&amp;G$8,'Journal Entries'!$C:$C,"&gt;"&amp;F$8)</f>
        <v>0</v>
      </c>
      <c r="H63" s="43">
        <f>SUMIFS('Journal Entries'!$L:$L,'Journal Entries'!$K:$K,$C63,'Journal Entries'!$C:$C,"&lt;="&amp;H$8,'Journal Entries'!$C:$C,"&gt;"&amp;G$8)</f>
        <v>0</v>
      </c>
      <c r="I63" s="43">
        <f>SUMIFS('Journal Entries'!$L:$L,'Journal Entries'!$K:$K,$C63,'Journal Entries'!$C:$C,"&lt;="&amp;I$8,'Journal Entries'!$C:$C,"&gt;"&amp;H$8)</f>
        <v>0</v>
      </c>
      <c r="J63" s="43">
        <f>SUMIFS('Journal Entries'!$L:$L,'Journal Entries'!$K:$K,$C63,'Journal Entries'!$C:$C,"&lt;="&amp;J$8,'Journal Entries'!$C:$C,"&gt;"&amp;I$8)</f>
        <v>0</v>
      </c>
      <c r="K63" s="43">
        <f>SUMIFS('Journal Entries'!$L:$L,'Journal Entries'!$K:$K,$C63,'Journal Entries'!$C:$C,"&lt;="&amp;K$8,'Journal Entries'!$C:$C,"&gt;"&amp;J$8)</f>
        <v>0</v>
      </c>
      <c r="L63" s="43">
        <f>SUMIFS('Journal Entries'!$L:$L,'Journal Entries'!$K:$K,$C63,'Journal Entries'!$C:$C,"&lt;="&amp;L$8,'Journal Entries'!$C:$C,"&gt;"&amp;K$8)</f>
        <v>0</v>
      </c>
      <c r="M63" s="43">
        <f>SUMIFS('Journal Entries'!$L:$L,'Journal Entries'!$K:$K,$C63,'Journal Entries'!$C:$C,"&lt;="&amp;M$8,'Journal Entries'!$C:$C,"&gt;"&amp;L$8)</f>
        <v>0</v>
      </c>
      <c r="N63" s="43">
        <f>SUMIFS('Journal Entries'!$L:$L,'Journal Entries'!$K:$K,$C63,'Journal Entries'!$C:$C,"&lt;="&amp;N$8,'Journal Entries'!$C:$C,"&gt;"&amp;M$8)</f>
        <v>0</v>
      </c>
      <c r="O63" s="43">
        <f>SUMIFS('Journal Entries'!$L:$L,'Journal Entries'!$K:$K,$C63,'Journal Entries'!$C:$C,"&lt;="&amp;O$8,'Journal Entries'!$C:$C,"&gt;"&amp;N$8)</f>
        <v>0</v>
      </c>
      <c r="P63" s="43">
        <f>SUMIFS('Journal Entries'!$L:$L,'Journal Entries'!$K:$K,$C63,'Journal Entries'!$C:$C,"&lt;="&amp;P$8,'Journal Entries'!$C:$C,"&gt;"&amp;O$8)</f>
        <v>0</v>
      </c>
      <c r="Q63" s="43">
        <f>SUMIFS('Journal Entries'!$L:$L,'Journal Entries'!$K:$K,$C63,'Journal Entries'!$C:$C,"&lt;="&amp;Q$8,'Journal Entries'!$C:$C,"&gt;"&amp;P$8)</f>
        <v>0</v>
      </c>
      <c r="R63" s="43">
        <f>SUMIFS('Journal Entries'!$L:$L,'Journal Entries'!$K:$K,$C63,'Journal Entries'!$C:$C,"&lt;="&amp;R$8,'Journal Entries'!$C:$C,"&gt;"&amp;Q$8)</f>
        <v>0</v>
      </c>
      <c r="S63" s="43">
        <f>SUMIFS('Journal Entries'!$L:$L,'Journal Entries'!$K:$K,$C63,'Journal Entries'!$C:$C,"&lt;="&amp;S$8,'Journal Entries'!$C:$C,"&gt;"&amp;R$8)</f>
        <v>0</v>
      </c>
      <c r="T63" s="43">
        <f>SUMIFS('Journal Entries'!$L:$L,'Journal Entries'!$K:$K,$C63,'Journal Entries'!$C:$C,"&lt;="&amp;T$8,'Journal Entries'!$C:$C,"&gt;"&amp;S$8)</f>
        <v>0</v>
      </c>
      <c r="U63" s="43">
        <f>SUMIFS('Journal Entries'!$L:$L,'Journal Entries'!$K:$K,$C63,'Journal Entries'!$C:$C,"&lt;="&amp;U$8,'Journal Entries'!$C:$C,"&gt;"&amp;T$8)</f>
        <v>0</v>
      </c>
      <c r="V63" s="43">
        <f>SUMIFS('Journal Entries'!$L:$L,'Journal Entries'!$K:$K,$C63,'Journal Entries'!$C:$C,"&lt;="&amp;V$8,'Journal Entries'!$C:$C,"&gt;"&amp;U$8)</f>
        <v>0</v>
      </c>
      <c r="W63" s="43">
        <f>SUMIFS('Journal Entries'!$L:$L,'Journal Entries'!$K:$K,$C63,'Journal Entries'!$C:$C,"&lt;="&amp;W$8,'Journal Entries'!$C:$C,"&gt;"&amp;V$8)</f>
        <v>0</v>
      </c>
      <c r="X63" s="43">
        <f>SUMIFS('Journal Entries'!$L:$L,'Journal Entries'!$K:$K,$C63,'Journal Entries'!$C:$C,"&lt;="&amp;X$8,'Journal Entries'!$C:$C,"&gt;"&amp;W$8)</f>
        <v>0</v>
      </c>
      <c r="Y63" s="43">
        <f>SUMIFS('Journal Entries'!$L:$L,'Journal Entries'!$K:$K,$C63,'Journal Entries'!$C:$C,"&lt;="&amp;Y$8,'Journal Entries'!$C:$C,"&gt;"&amp;X$8)</f>
        <v>0</v>
      </c>
      <c r="Z63" s="43">
        <f>SUMIFS('Journal Entries'!$L:$L,'Journal Entries'!$K:$K,$C63,'Journal Entries'!$C:$C,"&lt;="&amp;Z$8,'Journal Entries'!$C:$C,"&gt;"&amp;Y$8)</f>
        <v>0</v>
      </c>
      <c r="AA63" s="43">
        <f>SUMIFS('Journal Entries'!$L:$L,'Journal Entries'!$K:$K,$C63,'Journal Entries'!$C:$C,"&lt;="&amp;AA$8,'Journal Entries'!$C:$C,"&gt;"&amp;Z$8)</f>
        <v>0</v>
      </c>
      <c r="AB63" s="43">
        <f>SUMIFS('Journal Entries'!$L:$L,'Journal Entries'!$K:$K,$C63,'Journal Entries'!$C:$C,"&lt;="&amp;AB$8,'Journal Entries'!$C:$C,"&gt;"&amp;AA$8)</f>
        <v>0</v>
      </c>
      <c r="AC63" s="43">
        <f>SUMIFS('Journal Entries'!$L:$L,'Journal Entries'!$K:$K,$C63,'Journal Entries'!$C:$C,"&lt;="&amp;AC$8,'Journal Entries'!$C:$C,"&gt;"&amp;AB$8)</f>
        <v>0</v>
      </c>
      <c r="AD63" s="43">
        <f>SUMIFS('Journal Entries'!$L:$L,'Journal Entries'!$K:$K,$C63,'Journal Entries'!$C:$C,"&lt;="&amp;AD$8,'Journal Entries'!$C:$C,"&gt;"&amp;AC$8)</f>
        <v>0</v>
      </c>
      <c r="AE63" s="43">
        <f>SUMIFS('Journal Entries'!$L:$L,'Journal Entries'!$K:$K,$C63,'Journal Entries'!$C:$C,"&lt;="&amp;AE$8,'Journal Entries'!$C:$C,"&gt;"&amp;AD$8)</f>
        <v>0</v>
      </c>
      <c r="AF63" s="43">
        <f>SUMIFS('Journal Entries'!$L:$L,'Journal Entries'!$K:$K,$C63,'Journal Entries'!$C:$C,"&lt;="&amp;AF$8,'Journal Entries'!$C:$C,"&gt;"&amp;AE$8)</f>
        <v>0</v>
      </c>
      <c r="AG63" s="43">
        <f>SUMIFS('Journal Entries'!$L:$L,'Journal Entries'!$K:$K,$C63,'Journal Entries'!$C:$C,"&lt;="&amp;AG$8,'Journal Entries'!$C:$C,"&gt;"&amp;AF$8)</f>
        <v>0</v>
      </c>
      <c r="AH63" s="43">
        <f>SUMIFS('Journal Entries'!$L:$L,'Journal Entries'!$K:$K,$C63,'Journal Entries'!$C:$C,"&lt;="&amp;AH$8,'Journal Entries'!$C:$C,"&gt;"&amp;AG$8)</f>
        <v>0</v>
      </c>
      <c r="AI63" s="43">
        <f>SUMIFS('Journal Entries'!$L:$L,'Journal Entries'!$K:$K,$C63,'Journal Entries'!$C:$C,"&lt;="&amp;AI$8,'Journal Entries'!$C:$C,"&gt;"&amp;AH$8)</f>
        <v>0</v>
      </c>
      <c r="AJ63" s="43">
        <f>SUMIFS('Journal Entries'!$L:$L,'Journal Entries'!$K:$K,$C63,'Journal Entries'!$C:$C,"&lt;="&amp;AJ$8,'Journal Entries'!$C:$C,"&gt;"&amp;AI$8)</f>
        <v>0</v>
      </c>
      <c r="AK63" s="43">
        <f>SUMIFS('Journal Entries'!$L:$L,'Journal Entries'!$K:$K,$C63,'Journal Entries'!$C:$C,"&lt;="&amp;AK$8,'Journal Entries'!$C:$C,"&gt;"&amp;AJ$8)</f>
        <v>0</v>
      </c>
      <c r="AL63" s="43">
        <f>SUMIFS('Journal Entries'!$L:$L,'Journal Entries'!$K:$K,$C63,'Journal Entries'!$C:$C,"&lt;="&amp;AL$8,'Journal Entries'!$C:$C,"&gt;"&amp;AK$8)</f>
        <v>0</v>
      </c>
      <c r="AM63" s="43">
        <f>SUMIFS('Journal Entries'!$L:$L,'Journal Entries'!$K:$K,$C63,'Journal Entries'!$C:$C,"&lt;="&amp;AM$8,'Journal Entries'!$C:$C,"&gt;"&amp;AL$8)</f>
        <v>0</v>
      </c>
      <c r="AN63" s="43">
        <f>SUMIFS('Journal Entries'!$L:$L,'Journal Entries'!$K:$K,$C63,'Journal Entries'!$C:$C,"&lt;="&amp;AN$8,'Journal Entries'!$C:$C,"&gt;"&amp;AM$8)</f>
        <v>0</v>
      </c>
      <c r="AO63" s="43">
        <f>SUMIFS('Journal Entries'!$L:$L,'Journal Entries'!$K:$K,$C63,'Journal Entries'!$C:$C,"&lt;="&amp;AO$8,'Journal Entries'!$C:$C,"&gt;"&amp;AN$8)</f>
        <v>0</v>
      </c>
      <c r="AP63" s="43">
        <f>SUMIFS('Journal Entries'!$L:$L,'Journal Entries'!$K:$K,$C63,'Journal Entries'!$C:$C,"&lt;="&amp;AP$8,'Journal Entries'!$C:$C,"&gt;"&amp;AO$8)</f>
        <v>0</v>
      </c>
      <c r="AQ63" s="43">
        <f>SUMIFS('Journal Entries'!$L:$L,'Journal Entries'!$K:$K,$C63,'Journal Entries'!$C:$C,"&lt;="&amp;AQ$8,'Journal Entries'!$C:$C,"&gt;"&amp;AP$8)</f>
        <v>0</v>
      </c>
      <c r="AR63" s="43">
        <f>SUMIFS('Journal Entries'!$L:$L,'Journal Entries'!$K:$K,$C63,'Journal Entries'!$C:$C,"&lt;="&amp;AR$8,'Journal Entries'!$C:$C,"&gt;"&amp;AQ$8)</f>
        <v>0</v>
      </c>
      <c r="AS63" s="43">
        <f>SUMIFS('Journal Entries'!$L:$L,'Journal Entries'!$K:$K,$C63,'Journal Entries'!$C:$C,"&lt;="&amp;AS$8,'Journal Entries'!$C:$C,"&gt;"&amp;AR$8)</f>
        <v>0</v>
      </c>
      <c r="AT63" s="43">
        <f>SUMIFS('Journal Entries'!$L:$L,'Journal Entries'!$K:$K,$C63,'Journal Entries'!$C:$C,"&lt;="&amp;AT$8,'Journal Entries'!$C:$C,"&gt;"&amp;AS$8)</f>
        <v>0</v>
      </c>
      <c r="AU63" s="43">
        <f>SUMIFS('Journal Entries'!$L:$L,'Journal Entries'!$K:$K,$C63,'Journal Entries'!$C:$C,"&lt;="&amp;AU$8,'Journal Entries'!$C:$C,"&gt;"&amp;AT$8)</f>
        <v>0</v>
      </c>
      <c r="AV63" s="43">
        <f>SUMIFS('Journal Entries'!$L:$L,'Journal Entries'!$K:$K,$C63,'Journal Entries'!$C:$C,"&lt;="&amp;AV$8,'Journal Entries'!$C:$C,"&gt;"&amp;AU$8)</f>
        <v>0</v>
      </c>
      <c r="AW63" s="43">
        <f>SUMIFS('Journal Entries'!$L:$L,'Journal Entries'!$K:$K,$C63,'Journal Entries'!$C:$C,"&lt;="&amp;AW$8,'Journal Entries'!$C:$C,"&gt;"&amp;AV$8)</f>
        <v>0</v>
      </c>
      <c r="AX63" s="43">
        <f>SUMIFS('Journal Entries'!$L:$L,'Journal Entries'!$K:$K,$C63,'Journal Entries'!$C:$C,"&lt;="&amp;AX$8,'Journal Entries'!$C:$C,"&gt;"&amp;AW$8)</f>
        <v>0</v>
      </c>
      <c r="AY63" s="43">
        <f>SUMIFS('Journal Entries'!$L:$L,'Journal Entries'!$K:$K,$C63,'Journal Entries'!$C:$C,"&lt;="&amp;AY$8,'Journal Entries'!$C:$C,"&gt;"&amp;AX$8)</f>
        <v>0</v>
      </c>
      <c r="AZ63" s="43">
        <f>SUMIFS('Journal Entries'!$L:$L,'Journal Entries'!$K:$K,$C63,'Journal Entries'!$C:$C,"&lt;="&amp;AZ$8,'Journal Entries'!$C:$C,"&gt;"&amp;AY$8)</f>
        <v>0</v>
      </c>
      <c r="BA63" s="43">
        <f>SUMIFS('Journal Entries'!$L:$L,'Journal Entries'!$K:$K,$C63,'Journal Entries'!$C:$C,"&lt;="&amp;BA$8,'Journal Entries'!$C:$C,"&gt;"&amp;AZ$8)</f>
        <v>0</v>
      </c>
      <c r="BB63" s="43">
        <f>SUMIFS('Journal Entries'!$L:$L,'Journal Entries'!$K:$K,$C63,'Journal Entries'!$C:$C,"&lt;="&amp;BB$8,'Journal Entries'!$C:$C,"&gt;"&amp;BA$8)</f>
        <v>0</v>
      </c>
      <c r="BC63" s="43">
        <f>SUMIFS('Journal Entries'!$L:$L,'Journal Entries'!$K:$K,$C63,'Journal Entries'!$C:$C,"&lt;="&amp;BC$8,'Journal Entries'!$C:$C,"&gt;"&amp;BB$8)</f>
        <v>0</v>
      </c>
      <c r="BD63" s="43">
        <f>SUMIFS('Journal Entries'!$L:$L,'Journal Entries'!$K:$K,$C63,'Journal Entries'!$C:$C,"&lt;="&amp;BD$8,'Journal Entries'!$C:$C,"&gt;"&amp;BC$8)</f>
        <v>0</v>
      </c>
      <c r="BE63" s="43">
        <f>SUMIFS('Journal Entries'!$L:$L,'Journal Entries'!$K:$K,$C63,'Journal Entries'!$C:$C,"&lt;="&amp;BE$8,'Journal Entries'!$C:$C,"&gt;"&amp;BD$8)</f>
        <v>0</v>
      </c>
      <c r="BF63" s="43">
        <f>SUMIFS('Journal Entries'!$L:$L,'Journal Entries'!$K:$K,$C63,'Journal Entries'!$C:$C,"&lt;="&amp;BF$8,'Journal Entries'!$C:$C,"&gt;"&amp;BE$8)</f>
        <v>0</v>
      </c>
      <c r="BG63" s="43">
        <f>SUMIFS('Journal Entries'!$L:$L,'Journal Entries'!$K:$K,$C63,'Journal Entries'!$C:$C,"&lt;="&amp;BG$8,'Journal Entries'!$C:$C,"&gt;"&amp;BF$8)</f>
        <v>0</v>
      </c>
      <c r="BH63" s="43">
        <f>SUMIFS('Journal Entries'!$L:$L,'Journal Entries'!$K:$K,$C63,'Journal Entries'!$C:$C,"&lt;="&amp;BH$8,'Journal Entries'!$C:$C,"&gt;"&amp;BG$8)</f>
        <v>0</v>
      </c>
      <c r="BI63" s="43">
        <f>SUMIFS('Journal Entries'!$L:$L,'Journal Entries'!$K:$K,$C63,'Journal Entries'!$C:$C,"&lt;="&amp;BI$8,'Journal Entries'!$C:$C,"&gt;"&amp;BH$8)</f>
        <v>0</v>
      </c>
      <c r="BJ63" s="43">
        <f>SUMIFS('Journal Entries'!$L:$L,'Journal Entries'!$K:$K,$C63,'Journal Entries'!$C:$C,"&lt;="&amp;BJ$8,'Journal Entries'!$C:$C,"&gt;"&amp;BI$8)</f>
        <v>0</v>
      </c>
      <c r="BK63" s="43">
        <f>SUMIFS('Journal Entries'!$L:$L,'Journal Entries'!$K:$K,$C63,'Journal Entries'!$C:$C,"&lt;="&amp;BK$8,'Journal Entries'!$C:$C,"&gt;"&amp;BJ$8)</f>
        <v>0</v>
      </c>
      <c r="BL63" s="43">
        <f>SUMIFS('Journal Entries'!$L:$L,'Journal Entries'!$K:$K,$C63,'Journal Entries'!$C:$C,"&lt;="&amp;BL$8,'Journal Entries'!$C:$C,"&gt;"&amp;BK$8)</f>
        <v>0</v>
      </c>
    </row>
    <row r="64" spans="2:64" x14ac:dyDescent="0.25">
      <c r="B64" s="10">
        <v>5120</v>
      </c>
      <c r="C64" s="10" t="str">
        <f>VLOOKUP(B64,'Chart of Accounts'!$B$3:$C$95,2,0)</f>
        <v>Dividend expense</v>
      </c>
      <c r="D64" s="525">
        <f t="shared" si="2"/>
        <v>0</v>
      </c>
      <c r="E64" s="43">
        <f>SUMIFS('Journal Entries'!$L:$L,'Journal Entries'!$K:$K,$C64,'Journal Entries'!$C:$C,"&lt;="&amp;E$8,'Journal Entries'!$C:$C,"&gt;"&amp;D$8)</f>
        <v>0</v>
      </c>
      <c r="F64" s="43">
        <f>SUMIFS('Journal Entries'!$L:$L,'Journal Entries'!$K:$K,$C64,'Journal Entries'!$C:$C,"&lt;="&amp;F$8,'Journal Entries'!$C:$C,"&gt;"&amp;E$8)</f>
        <v>0</v>
      </c>
      <c r="G64" s="43">
        <f>SUMIFS('Journal Entries'!$L:$L,'Journal Entries'!$K:$K,$C64,'Journal Entries'!$C:$C,"&lt;="&amp;G$8,'Journal Entries'!$C:$C,"&gt;"&amp;F$8)</f>
        <v>0</v>
      </c>
      <c r="H64" s="43">
        <f>SUMIFS('Journal Entries'!$L:$L,'Journal Entries'!$K:$K,$C64,'Journal Entries'!$C:$C,"&lt;="&amp;H$8,'Journal Entries'!$C:$C,"&gt;"&amp;G$8)</f>
        <v>0</v>
      </c>
      <c r="I64" s="43">
        <f>SUMIFS('Journal Entries'!$L:$L,'Journal Entries'!$K:$K,$C64,'Journal Entries'!$C:$C,"&lt;="&amp;I$8,'Journal Entries'!$C:$C,"&gt;"&amp;H$8)</f>
        <v>0</v>
      </c>
      <c r="J64" s="43">
        <f>SUMIFS('Journal Entries'!$L:$L,'Journal Entries'!$K:$K,$C64,'Journal Entries'!$C:$C,"&lt;="&amp;J$8,'Journal Entries'!$C:$C,"&gt;"&amp;I$8)</f>
        <v>0</v>
      </c>
      <c r="K64" s="43">
        <f>SUMIFS('Journal Entries'!$L:$L,'Journal Entries'!$K:$K,$C64,'Journal Entries'!$C:$C,"&lt;="&amp;K$8,'Journal Entries'!$C:$C,"&gt;"&amp;J$8)</f>
        <v>0</v>
      </c>
      <c r="L64" s="43">
        <f>SUMIFS('Journal Entries'!$L:$L,'Journal Entries'!$K:$K,$C64,'Journal Entries'!$C:$C,"&lt;="&amp;L$8,'Journal Entries'!$C:$C,"&gt;"&amp;K$8)</f>
        <v>0</v>
      </c>
      <c r="M64" s="43">
        <f>SUMIFS('Journal Entries'!$L:$L,'Journal Entries'!$K:$K,$C64,'Journal Entries'!$C:$C,"&lt;="&amp;M$8,'Journal Entries'!$C:$C,"&gt;"&amp;L$8)</f>
        <v>0</v>
      </c>
      <c r="N64" s="43">
        <f>SUMIFS('Journal Entries'!$L:$L,'Journal Entries'!$K:$K,$C64,'Journal Entries'!$C:$C,"&lt;="&amp;N$8,'Journal Entries'!$C:$C,"&gt;"&amp;M$8)</f>
        <v>0</v>
      </c>
      <c r="O64" s="43">
        <f>SUMIFS('Journal Entries'!$L:$L,'Journal Entries'!$K:$K,$C64,'Journal Entries'!$C:$C,"&lt;="&amp;O$8,'Journal Entries'!$C:$C,"&gt;"&amp;N$8)</f>
        <v>0</v>
      </c>
      <c r="P64" s="43">
        <f>SUMIFS('Journal Entries'!$L:$L,'Journal Entries'!$K:$K,$C64,'Journal Entries'!$C:$C,"&lt;="&amp;P$8,'Journal Entries'!$C:$C,"&gt;"&amp;O$8)</f>
        <v>0</v>
      </c>
      <c r="Q64" s="43">
        <f>SUMIFS('Journal Entries'!$L:$L,'Journal Entries'!$K:$K,$C64,'Journal Entries'!$C:$C,"&lt;="&amp;Q$8,'Journal Entries'!$C:$C,"&gt;"&amp;P$8)</f>
        <v>0</v>
      </c>
      <c r="R64" s="43">
        <f>SUMIFS('Journal Entries'!$L:$L,'Journal Entries'!$K:$K,$C64,'Journal Entries'!$C:$C,"&lt;="&amp;R$8,'Journal Entries'!$C:$C,"&gt;"&amp;Q$8)</f>
        <v>0</v>
      </c>
      <c r="S64" s="43">
        <f>SUMIFS('Journal Entries'!$L:$L,'Journal Entries'!$K:$K,$C64,'Journal Entries'!$C:$C,"&lt;="&amp;S$8,'Journal Entries'!$C:$C,"&gt;"&amp;R$8)</f>
        <v>0</v>
      </c>
      <c r="T64" s="43">
        <f>SUMIFS('Journal Entries'!$L:$L,'Journal Entries'!$K:$K,$C64,'Journal Entries'!$C:$C,"&lt;="&amp;T$8,'Journal Entries'!$C:$C,"&gt;"&amp;S$8)</f>
        <v>0</v>
      </c>
      <c r="U64" s="43">
        <f>SUMIFS('Journal Entries'!$L:$L,'Journal Entries'!$K:$K,$C64,'Journal Entries'!$C:$C,"&lt;="&amp;U$8,'Journal Entries'!$C:$C,"&gt;"&amp;T$8)</f>
        <v>0</v>
      </c>
      <c r="V64" s="43">
        <f>SUMIFS('Journal Entries'!$L:$L,'Journal Entries'!$K:$K,$C64,'Journal Entries'!$C:$C,"&lt;="&amp;V$8,'Journal Entries'!$C:$C,"&gt;"&amp;U$8)</f>
        <v>0</v>
      </c>
      <c r="W64" s="43">
        <f>SUMIFS('Journal Entries'!$L:$L,'Journal Entries'!$K:$K,$C64,'Journal Entries'!$C:$C,"&lt;="&amp;W$8,'Journal Entries'!$C:$C,"&gt;"&amp;V$8)</f>
        <v>0</v>
      </c>
      <c r="X64" s="43">
        <f>SUMIFS('Journal Entries'!$L:$L,'Journal Entries'!$K:$K,$C64,'Journal Entries'!$C:$C,"&lt;="&amp;X$8,'Journal Entries'!$C:$C,"&gt;"&amp;W$8)</f>
        <v>0</v>
      </c>
      <c r="Y64" s="43">
        <f>SUMIFS('Journal Entries'!$L:$L,'Journal Entries'!$K:$K,$C64,'Journal Entries'!$C:$C,"&lt;="&amp;Y$8,'Journal Entries'!$C:$C,"&gt;"&amp;X$8)</f>
        <v>0</v>
      </c>
      <c r="Z64" s="43">
        <f>SUMIFS('Journal Entries'!$L:$L,'Journal Entries'!$K:$K,$C64,'Journal Entries'!$C:$C,"&lt;="&amp;Z$8,'Journal Entries'!$C:$C,"&gt;"&amp;Y$8)</f>
        <v>0</v>
      </c>
      <c r="AA64" s="43">
        <f>SUMIFS('Journal Entries'!$L:$L,'Journal Entries'!$K:$K,$C64,'Journal Entries'!$C:$C,"&lt;="&amp;AA$8,'Journal Entries'!$C:$C,"&gt;"&amp;Z$8)</f>
        <v>0</v>
      </c>
      <c r="AB64" s="43">
        <f>SUMIFS('Journal Entries'!$L:$L,'Journal Entries'!$K:$K,$C64,'Journal Entries'!$C:$C,"&lt;="&amp;AB$8,'Journal Entries'!$C:$C,"&gt;"&amp;AA$8)</f>
        <v>0</v>
      </c>
      <c r="AC64" s="43">
        <f>SUMIFS('Journal Entries'!$L:$L,'Journal Entries'!$K:$K,$C64,'Journal Entries'!$C:$C,"&lt;="&amp;AC$8,'Journal Entries'!$C:$C,"&gt;"&amp;AB$8)</f>
        <v>0</v>
      </c>
      <c r="AD64" s="43">
        <f>SUMIFS('Journal Entries'!$L:$L,'Journal Entries'!$K:$K,$C64,'Journal Entries'!$C:$C,"&lt;="&amp;AD$8,'Journal Entries'!$C:$C,"&gt;"&amp;AC$8)</f>
        <v>0</v>
      </c>
      <c r="AE64" s="43">
        <f>SUMIFS('Journal Entries'!$L:$L,'Journal Entries'!$K:$K,$C64,'Journal Entries'!$C:$C,"&lt;="&amp;AE$8,'Journal Entries'!$C:$C,"&gt;"&amp;AD$8)</f>
        <v>0</v>
      </c>
      <c r="AF64" s="43">
        <f>SUMIFS('Journal Entries'!$L:$L,'Journal Entries'!$K:$K,$C64,'Journal Entries'!$C:$C,"&lt;="&amp;AF$8,'Journal Entries'!$C:$C,"&gt;"&amp;AE$8)</f>
        <v>0</v>
      </c>
      <c r="AG64" s="43">
        <f>SUMIFS('Journal Entries'!$L:$L,'Journal Entries'!$K:$K,$C64,'Journal Entries'!$C:$C,"&lt;="&amp;AG$8,'Journal Entries'!$C:$C,"&gt;"&amp;AF$8)</f>
        <v>0</v>
      </c>
      <c r="AH64" s="43">
        <f>SUMIFS('Journal Entries'!$L:$L,'Journal Entries'!$K:$K,$C64,'Journal Entries'!$C:$C,"&lt;="&amp;AH$8,'Journal Entries'!$C:$C,"&gt;"&amp;AG$8)</f>
        <v>0</v>
      </c>
      <c r="AI64" s="43">
        <f>SUMIFS('Journal Entries'!$L:$L,'Journal Entries'!$K:$K,$C64,'Journal Entries'!$C:$C,"&lt;="&amp;AI$8,'Journal Entries'!$C:$C,"&gt;"&amp;AH$8)</f>
        <v>0</v>
      </c>
      <c r="AJ64" s="43">
        <f>SUMIFS('Journal Entries'!$L:$L,'Journal Entries'!$K:$K,$C64,'Journal Entries'!$C:$C,"&lt;="&amp;AJ$8,'Journal Entries'!$C:$C,"&gt;"&amp;AI$8)</f>
        <v>0</v>
      </c>
      <c r="AK64" s="43">
        <f>SUMIFS('Journal Entries'!$L:$L,'Journal Entries'!$K:$K,$C64,'Journal Entries'!$C:$C,"&lt;="&amp;AK$8,'Journal Entries'!$C:$C,"&gt;"&amp;AJ$8)</f>
        <v>0</v>
      </c>
      <c r="AL64" s="43">
        <f>SUMIFS('Journal Entries'!$L:$L,'Journal Entries'!$K:$K,$C64,'Journal Entries'!$C:$C,"&lt;="&amp;AL$8,'Journal Entries'!$C:$C,"&gt;"&amp;AK$8)</f>
        <v>0</v>
      </c>
      <c r="AM64" s="43">
        <f>SUMIFS('Journal Entries'!$L:$L,'Journal Entries'!$K:$K,$C64,'Journal Entries'!$C:$C,"&lt;="&amp;AM$8,'Journal Entries'!$C:$C,"&gt;"&amp;AL$8)</f>
        <v>0</v>
      </c>
      <c r="AN64" s="43">
        <f>SUMIFS('Journal Entries'!$L:$L,'Journal Entries'!$K:$K,$C64,'Journal Entries'!$C:$C,"&lt;="&amp;AN$8,'Journal Entries'!$C:$C,"&gt;"&amp;AM$8)</f>
        <v>0</v>
      </c>
      <c r="AO64" s="43">
        <f>SUMIFS('Journal Entries'!$L:$L,'Journal Entries'!$K:$K,$C64,'Journal Entries'!$C:$C,"&lt;="&amp;AO$8,'Journal Entries'!$C:$C,"&gt;"&amp;AN$8)</f>
        <v>0</v>
      </c>
      <c r="AP64" s="43">
        <f>SUMIFS('Journal Entries'!$L:$L,'Journal Entries'!$K:$K,$C64,'Journal Entries'!$C:$C,"&lt;="&amp;AP$8,'Journal Entries'!$C:$C,"&gt;"&amp;AO$8)</f>
        <v>0</v>
      </c>
      <c r="AQ64" s="43">
        <f>SUMIFS('Journal Entries'!$L:$L,'Journal Entries'!$K:$K,$C64,'Journal Entries'!$C:$C,"&lt;="&amp;AQ$8,'Journal Entries'!$C:$C,"&gt;"&amp;AP$8)</f>
        <v>0</v>
      </c>
      <c r="AR64" s="43">
        <f>SUMIFS('Journal Entries'!$L:$L,'Journal Entries'!$K:$K,$C64,'Journal Entries'!$C:$C,"&lt;="&amp;AR$8,'Journal Entries'!$C:$C,"&gt;"&amp;AQ$8)</f>
        <v>0</v>
      </c>
      <c r="AS64" s="43">
        <f>SUMIFS('Journal Entries'!$L:$L,'Journal Entries'!$K:$K,$C64,'Journal Entries'!$C:$C,"&lt;="&amp;AS$8,'Journal Entries'!$C:$C,"&gt;"&amp;AR$8)</f>
        <v>0</v>
      </c>
      <c r="AT64" s="43">
        <f>SUMIFS('Journal Entries'!$L:$L,'Journal Entries'!$K:$K,$C64,'Journal Entries'!$C:$C,"&lt;="&amp;AT$8,'Journal Entries'!$C:$C,"&gt;"&amp;AS$8)</f>
        <v>0</v>
      </c>
      <c r="AU64" s="43">
        <f>SUMIFS('Journal Entries'!$L:$L,'Journal Entries'!$K:$K,$C64,'Journal Entries'!$C:$C,"&lt;="&amp;AU$8,'Journal Entries'!$C:$C,"&gt;"&amp;AT$8)</f>
        <v>0</v>
      </c>
      <c r="AV64" s="43">
        <f>SUMIFS('Journal Entries'!$L:$L,'Journal Entries'!$K:$K,$C64,'Journal Entries'!$C:$C,"&lt;="&amp;AV$8,'Journal Entries'!$C:$C,"&gt;"&amp;AU$8)</f>
        <v>0</v>
      </c>
      <c r="AW64" s="43">
        <f>SUMIFS('Journal Entries'!$L:$L,'Journal Entries'!$K:$K,$C64,'Journal Entries'!$C:$C,"&lt;="&amp;AW$8,'Journal Entries'!$C:$C,"&gt;"&amp;AV$8)</f>
        <v>0</v>
      </c>
      <c r="AX64" s="43">
        <f>SUMIFS('Journal Entries'!$L:$L,'Journal Entries'!$K:$K,$C64,'Journal Entries'!$C:$C,"&lt;="&amp;AX$8,'Journal Entries'!$C:$C,"&gt;"&amp;AW$8)</f>
        <v>0</v>
      </c>
      <c r="AY64" s="43">
        <f>SUMIFS('Journal Entries'!$L:$L,'Journal Entries'!$K:$K,$C64,'Journal Entries'!$C:$C,"&lt;="&amp;AY$8,'Journal Entries'!$C:$C,"&gt;"&amp;AX$8)</f>
        <v>0</v>
      </c>
      <c r="AZ64" s="43">
        <f>SUMIFS('Journal Entries'!$L:$L,'Journal Entries'!$K:$K,$C64,'Journal Entries'!$C:$C,"&lt;="&amp;AZ$8,'Journal Entries'!$C:$C,"&gt;"&amp;AY$8)</f>
        <v>0</v>
      </c>
      <c r="BA64" s="43">
        <f>SUMIFS('Journal Entries'!$L:$L,'Journal Entries'!$K:$K,$C64,'Journal Entries'!$C:$C,"&lt;="&amp;BA$8,'Journal Entries'!$C:$C,"&gt;"&amp;AZ$8)</f>
        <v>0</v>
      </c>
      <c r="BB64" s="43">
        <f>SUMIFS('Journal Entries'!$L:$L,'Journal Entries'!$K:$K,$C64,'Journal Entries'!$C:$C,"&lt;="&amp;BB$8,'Journal Entries'!$C:$C,"&gt;"&amp;BA$8)</f>
        <v>0</v>
      </c>
      <c r="BC64" s="43">
        <f>SUMIFS('Journal Entries'!$L:$L,'Journal Entries'!$K:$K,$C64,'Journal Entries'!$C:$C,"&lt;="&amp;BC$8,'Journal Entries'!$C:$C,"&gt;"&amp;BB$8)</f>
        <v>0</v>
      </c>
      <c r="BD64" s="43">
        <f>SUMIFS('Journal Entries'!$L:$L,'Journal Entries'!$K:$K,$C64,'Journal Entries'!$C:$C,"&lt;="&amp;BD$8,'Journal Entries'!$C:$C,"&gt;"&amp;BC$8)</f>
        <v>0</v>
      </c>
      <c r="BE64" s="43">
        <f>SUMIFS('Journal Entries'!$L:$L,'Journal Entries'!$K:$K,$C64,'Journal Entries'!$C:$C,"&lt;="&amp;BE$8,'Journal Entries'!$C:$C,"&gt;"&amp;BD$8)</f>
        <v>0</v>
      </c>
      <c r="BF64" s="43">
        <f>SUMIFS('Journal Entries'!$L:$L,'Journal Entries'!$K:$K,$C64,'Journal Entries'!$C:$C,"&lt;="&amp;BF$8,'Journal Entries'!$C:$C,"&gt;"&amp;BE$8)</f>
        <v>0</v>
      </c>
      <c r="BG64" s="43">
        <f>SUMIFS('Journal Entries'!$L:$L,'Journal Entries'!$K:$K,$C64,'Journal Entries'!$C:$C,"&lt;="&amp;BG$8,'Journal Entries'!$C:$C,"&gt;"&amp;BF$8)</f>
        <v>0</v>
      </c>
      <c r="BH64" s="43">
        <f>SUMIFS('Journal Entries'!$L:$L,'Journal Entries'!$K:$K,$C64,'Journal Entries'!$C:$C,"&lt;="&amp;BH$8,'Journal Entries'!$C:$C,"&gt;"&amp;BG$8)</f>
        <v>0</v>
      </c>
      <c r="BI64" s="43">
        <f>SUMIFS('Journal Entries'!$L:$L,'Journal Entries'!$K:$K,$C64,'Journal Entries'!$C:$C,"&lt;="&amp;BI$8,'Journal Entries'!$C:$C,"&gt;"&amp;BH$8)</f>
        <v>0</v>
      </c>
      <c r="BJ64" s="43">
        <f>SUMIFS('Journal Entries'!$L:$L,'Journal Entries'!$K:$K,$C64,'Journal Entries'!$C:$C,"&lt;="&amp;BJ$8,'Journal Entries'!$C:$C,"&gt;"&amp;BI$8)</f>
        <v>0</v>
      </c>
      <c r="BK64" s="43">
        <f>SUMIFS('Journal Entries'!$L:$L,'Journal Entries'!$K:$K,$C64,'Journal Entries'!$C:$C,"&lt;="&amp;BK$8,'Journal Entries'!$C:$C,"&gt;"&amp;BJ$8)</f>
        <v>0</v>
      </c>
      <c r="BL64" s="43">
        <f>SUMIFS('Journal Entries'!$L:$L,'Journal Entries'!$K:$K,$C64,'Journal Entries'!$C:$C,"&lt;="&amp;BL$8,'Journal Entries'!$C:$C,"&gt;"&amp;BK$8)</f>
        <v>0</v>
      </c>
    </row>
    <row r="65" spans="2:64" x14ac:dyDescent="0.25">
      <c r="B65" s="10">
        <v>5130</v>
      </c>
      <c r="C65" s="10" t="str">
        <f>VLOOKUP(B65,'Chart of Accounts'!$B$3:$C$95,2,0)</f>
        <v>Audit and tax expense</v>
      </c>
      <c r="D65" s="525">
        <f t="shared" si="2"/>
        <v>0</v>
      </c>
      <c r="E65" s="43">
        <f>SUMIFS('Journal Entries'!$L:$L,'Journal Entries'!$K:$K,$C65,'Journal Entries'!$C:$C,"&lt;="&amp;E$8,'Journal Entries'!$C:$C,"&gt;"&amp;D$8)</f>
        <v>0</v>
      </c>
      <c r="F65" s="43">
        <f>SUMIFS('Journal Entries'!$L:$L,'Journal Entries'!$K:$K,$C65,'Journal Entries'!$C:$C,"&lt;="&amp;F$8,'Journal Entries'!$C:$C,"&gt;"&amp;E$8)</f>
        <v>0</v>
      </c>
      <c r="G65" s="43">
        <f>SUMIFS('Journal Entries'!$L:$L,'Journal Entries'!$K:$K,$C65,'Journal Entries'!$C:$C,"&lt;="&amp;G$8,'Journal Entries'!$C:$C,"&gt;"&amp;F$8)</f>
        <v>0</v>
      </c>
      <c r="H65" s="43">
        <f>SUMIFS('Journal Entries'!$L:$L,'Journal Entries'!$K:$K,$C65,'Journal Entries'!$C:$C,"&lt;="&amp;H$8,'Journal Entries'!$C:$C,"&gt;"&amp;G$8)</f>
        <v>0</v>
      </c>
      <c r="I65" s="43">
        <f>SUMIFS('Journal Entries'!$L:$L,'Journal Entries'!$K:$K,$C65,'Journal Entries'!$C:$C,"&lt;="&amp;I$8,'Journal Entries'!$C:$C,"&gt;"&amp;H$8)</f>
        <v>0</v>
      </c>
      <c r="J65" s="43">
        <f>SUMIFS('Journal Entries'!$L:$L,'Journal Entries'!$K:$K,$C65,'Journal Entries'!$C:$C,"&lt;="&amp;J$8,'Journal Entries'!$C:$C,"&gt;"&amp;I$8)</f>
        <v>0</v>
      </c>
      <c r="K65" s="43">
        <f>SUMIFS('Journal Entries'!$L:$L,'Journal Entries'!$K:$K,$C65,'Journal Entries'!$C:$C,"&lt;="&amp;K$8,'Journal Entries'!$C:$C,"&gt;"&amp;J$8)</f>
        <v>0</v>
      </c>
      <c r="L65" s="43">
        <f>SUMIFS('Journal Entries'!$L:$L,'Journal Entries'!$K:$K,$C65,'Journal Entries'!$C:$C,"&lt;="&amp;L$8,'Journal Entries'!$C:$C,"&gt;"&amp;K$8)</f>
        <v>0</v>
      </c>
      <c r="M65" s="43">
        <f>SUMIFS('Journal Entries'!$L:$L,'Journal Entries'!$K:$K,$C65,'Journal Entries'!$C:$C,"&lt;="&amp;M$8,'Journal Entries'!$C:$C,"&gt;"&amp;L$8)</f>
        <v>0</v>
      </c>
      <c r="N65" s="43">
        <f>SUMIFS('Journal Entries'!$L:$L,'Journal Entries'!$K:$K,$C65,'Journal Entries'!$C:$C,"&lt;="&amp;N$8,'Journal Entries'!$C:$C,"&gt;"&amp;M$8)</f>
        <v>0</v>
      </c>
      <c r="O65" s="43">
        <f>SUMIFS('Journal Entries'!$L:$L,'Journal Entries'!$K:$K,$C65,'Journal Entries'!$C:$C,"&lt;="&amp;O$8,'Journal Entries'!$C:$C,"&gt;"&amp;N$8)</f>
        <v>0</v>
      </c>
      <c r="P65" s="43">
        <f>SUMIFS('Journal Entries'!$L:$L,'Journal Entries'!$K:$K,$C65,'Journal Entries'!$C:$C,"&lt;="&amp;P$8,'Journal Entries'!$C:$C,"&gt;"&amp;O$8)</f>
        <v>0</v>
      </c>
      <c r="Q65" s="43">
        <f>SUMIFS('Journal Entries'!$L:$L,'Journal Entries'!$K:$K,$C65,'Journal Entries'!$C:$C,"&lt;="&amp;Q$8,'Journal Entries'!$C:$C,"&gt;"&amp;P$8)</f>
        <v>0</v>
      </c>
      <c r="R65" s="43">
        <f>SUMIFS('Journal Entries'!$L:$L,'Journal Entries'!$K:$K,$C65,'Journal Entries'!$C:$C,"&lt;="&amp;R$8,'Journal Entries'!$C:$C,"&gt;"&amp;Q$8)</f>
        <v>0</v>
      </c>
      <c r="S65" s="43">
        <f>SUMIFS('Journal Entries'!$L:$L,'Journal Entries'!$K:$K,$C65,'Journal Entries'!$C:$C,"&lt;="&amp;S$8,'Journal Entries'!$C:$C,"&gt;"&amp;R$8)</f>
        <v>0</v>
      </c>
      <c r="T65" s="43">
        <f>SUMIFS('Journal Entries'!$L:$L,'Journal Entries'!$K:$K,$C65,'Journal Entries'!$C:$C,"&lt;="&amp;T$8,'Journal Entries'!$C:$C,"&gt;"&amp;S$8)</f>
        <v>0</v>
      </c>
      <c r="U65" s="43">
        <f>SUMIFS('Journal Entries'!$L:$L,'Journal Entries'!$K:$K,$C65,'Journal Entries'!$C:$C,"&lt;="&amp;U$8,'Journal Entries'!$C:$C,"&gt;"&amp;T$8)</f>
        <v>0</v>
      </c>
      <c r="V65" s="43">
        <f>SUMIFS('Journal Entries'!$L:$L,'Journal Entries'!$K:$K,$C65,'Journal Entries'!$C:$C,"&lt;="&amp;V$8,'Journal Entries'!$C:$C,"&gt;"&amp;U$8)</f>
        <v>0</v>
      </c>
      <c r="W65" s="43">
        <f>SUMIFS('Journal Entries'!$L:$L,'Journal Entries'!$K:$K,$C65,'Journal Entries'!$C:$C,"&lt;="&amp;W$8,'Journal Entries'!$C:$C,"&gt;"&amp;V$8)</f>
        <v>0</v>
      </c>
      <c r="X65" s="43">
        <f>SUMIFS('Journal Entries'!$L:$L,'Journal Entries'!$K:$K,$C65,'Journal Entries'!$C:$C,"&lt;="&amp;X$8,'Journal Entries'!$C:$C,"&gt;"&amp;W$8)</f>
        <v>0</v>
      </c>
      <c r="Y65" s="43">
        <f>SUMIFS('Journal Entries'!$L:$L,'Journal Entries'!$K:$K,$C65,'Journal Entries'!$C:$C,"&lt;="&amp;Y$8,'Journal Entries'!$C:$C,"&gt;"&amp;X$8)</f>
        <v>0</v>
      </c>
      <c r="Z65" s="43">
        <f>SUMIFS('Journal Entries'!$L:$L,'Journal Entries'!$K:$K,$C65,'Journal Entries'!$C:$C,"&lt;="&amp;Z$8,'Journal Entries'!$C:$C,"&gt;"&amp;Y$8)</f>
        <v>0</v>
      </c>
      <c r="AA65" s="43">
        <f>SUMIFS('Journal Entries'!$L:$L,'Journal Entries'!$K:$K,$C65,'Journal Entries'!$C:$C,"&lt;="&amp;AA$8,'Journal Entries'!$C:$C,"&gt;"&amp;Z$8)</f>
        <v>0</v>
      </c>
      <c r="AB65" s="43">
        <f>SUMIFS('Journal Entries'!$L:$L,'Journal Entries'!$K:$K,$C65,'Journal Entries'!$C:$C,"&lt;="&amp;AB$8,'Journal Entries'!$C:$C,"&gt;"&amp;AA$8)</f>
        <v>0</v>
      </c>
      <c r="AC65" s="43">
        <f>SUMIFS('Journal Entries'!$L:$L,'Journal Entries'!$K:$K,$C65,'Journal Entries'!$C:$C,"&lt;="&amp;AC$8,'Journal Entries'!$C:$C,"&gt;"&amp;AB$8)</f>
        <v>0</v>
      </c>
      <c r="AD65" s="43">
        <f>SUMIFS('Journal Entries'!$L:$L,'Journal Entries'!$K:$K,$C65,'Journal Entries'!$C:$C,"&lt;="&amp;AD$8,'Journal Entries'!$C:$C,"&gt;"&amp;AC$8)</f>
        <v>0</v>
      </c>
      <c r="AE65" s="43">
        <f>SUMIFS('Journal Entries'!$L:$L,'Journal Entries'!$K:$K,$C65,'Journal Entries'!$C:$C,"&lt;="&amp;AE$8,'Journal Entries'!$C:$C,"&gt;"&amp;AD$8)</f>
        <v>0</v>
      </c>
      <c r="AF65" s="43">
        <f>SUMIFS('Journal Entries'!$L:$L,'Journal Entries'!$K:$K,$C65,'Journal Entries'!$C:$C,"&lt;="&amp;AF$8,'Journal Entries'!$C:$C,"&gt;"&amp;AE$8)</f>
        <v>0</v>
      </c>
      <c r="AG65" s="43">
        <f>SUMIFS('Journal Entries'!$L:$L,'Journal Entries'!$K:$K,$C65,'Journal Entries'!$C:$C,"&lt;="&amp;AG$8,'Journal Entries'!$C:$C,"&gt;"&amp;AF$8)</f>
        <v>0</v>
      </c>
      <c r="AH65" s="43">
        <f>SUMIFS('Journal Entries'!$L:$L,'Journal Entries'!$K:$K,$C65,'Journal Entries'!$C:$C,"&lt;="&amp;AH$8,'Journal Entries'!$C:$C,"&gt;"&amp;AG$8)</f>
        <v>0</v>
      </c>
      <c r="AI65" s="43">
        <f>SUMIFS('Journal Entries'!$L:$L,'Journal Entries'!$K:$K,$C65,'Journal Entries'!$C:$C,"&lt;="&amp;AI$8,'Journal Entries'!$C:$C,"&gt;"&amp;AH$8)</f>
        <v>0</v>
      </c>
      <c r="AJ65" s="43">
        <f>SUMIFS('Journal Entries'!$L:$L,'Journal Entries'!$K:$K,$C65,'Journal Entries'!$C:$C,"&lt;="&amp;AJ$8,'Journal Entries'!$C:$C,"&gt;"&amp;AI$8)</f>
        <v>0</v>
      </c>
      <c r="AK65" s="43">
        <f>SUMIFS('Journal Entries'!$L:$L,'Journal Entries'!$K:$K,$C65,'Journal Entries'!$C:$C,"&lt;="&amp;AK$8,'Journal Entries'!$C:$C,"&gt;"&amp;AJ$8)</f>
        <v>0</v>
      </c>
      <c r="AL65" s="43">
        <f>SUMIFS('Journal Entries'!$L:$L,'Journal Entries'!$K:$K,$C65,'Journal Entries'!$C:$C,"&lt;="&amp;AL$8,'Journal Entries'!$C:$C,"&gt;"&amp;AK$8)</f>
        <v>0</v>
      </c>
      <c r="AM65" s="43">
        <f>SUMIFS('Journal Entries'!$L:$L,'Journal Entries'!$K:$K,$C65,'Journal Entries'!$C:$C,"&lt;="&amp;AM$8,'Journal Entries'!$C:$C,"&gt;"&amp;AL$8)</f>
        <v>0</v>
      </c>
      <c r="AN65" s="43">
        <f>SUMIFS('Journal Entries'!$L:$L,'Journal Entries'!$K:$K,$C65,'Journal Entries'!$C:$C,"&lt;="&amp;AN$8,'Journal Entries'!$C:$C,"&gt;"&amp;AM$8)</f>
        <v>0</v>
      </c>
      <c r="AO65" s="43">
        <f>SUMIFS('Journal Entries'!$L:$L,'Journal Entries'!$K:$K,$C65,'Journal Entries'!$C:$C,"&lt;="&amp;AO$8,'Journal Entries'!$C:$C,"&gt;"&amp;AN$8)</f>
        <v>0</v>
      </c>
      <c r="AP65" s="43">
        <f>SUMIFS('Journal Entries'!$L:$L,'Journal Entries'!$K:$K,$C65,'Journal Entries'!$C:$C,"&lt;="&amp;AP$8,'Journal Entries'!$C:$C,"&gt;"&amp;AO$8)</f>
        <v>0</v>
      </c>
      <c r="AQ65" s="43">
        <f>SUMIFS('Journal Entries'!$L:$L,'Journal Entries'!$K:$K,$C65,'Journal Entries'!$C:$C,"&lt;="&amp;AQ$8,'Journal Entries'!$C:$C,"&gt;"&amp;AP$8)</f>
        <v>0</v>
      </c>
      <c r="AR65" s="43">
        <f>SUMIFS('Journal Entries'!$L:$L,'Journal Entries'!$K:$K,$C65,'Journal Entries'!$C:$C,"&lt;="&amp;AR$8,'Journal Entries'!$C:$C,"&gt;"&amp;AQ$8)</f>
        <v>0</v>
      </c>
      <c r="AS65" s="43">
        <f>SUMIFS('Journal Entries'!$L:$L,'Journal Entries'!$K:$K,$C65,'Journal Entries'!$C:$C,"&lt;="&amp;AS$8,'Journal Entries'!$C:$C,"&gt;"&amp;AR$8)</f>
        <v>0</v>
      </c>
      <c r="AT65" s="43">
        <f>SUMIFS('Journal Entries'!$L:$L,'Journal Entries'!$K:$K,$C65,'Journal Entries'!$C:$C,"&lt;="&amp;AT$8,'Journal Entries'!$C:$C,"&gt;"&amp;AS$8)</f>
        <v>0</v>
      </c>
      <c r="AU65" s="43">
        <f>SUMIFS('Journal Entries'!$L:$L,'Journal Entries'!$K:$K,$C65,'Journal Entries'!$C:$C,"&lt;="&amp;AU$8,'Journal Entries'!$C:$C,"&gt;"&amp;AT$8)</f>
        <v>0</v>
      </c>
      <c r="AV65" s="43">
        <f>SUMIFS('Journal Entries'!$L:$L,'Journal Entries'!$K:$K,$C65,'Journal Entries'!$C:$C,"&lt;="&amp;AV$8,'Journal Entries'!$C:$C,"&gt;"&amp;AU$8)</f>
        <v>0</v>
      </c>
      <c r="AW65" s="43">
        <f>SUMIFS('Journal Entries'!$L:$L,'Journal Entries'!$K:$K,$C65,'Journal Entries'!$C:$C,"&lt;="&amp;AW$8,'Journal Entries'!$C:$C,"&gt;"&amp;AV$8)</f>
        <v>0</v>
      </c>
      <c r="AX65" s="43">
        <f>SUMIFS('Journal Entries'!$L:$L,'Journal Entries'!$K:$K,$C65,'Journal Entries'!$C:$C,"&lt;="&amp;AX$8,'Journal Entries'!$C:$C,"&gt;"&amp;AW$8)</f>
        <v>0</v>
      </c>
      <c r="AY65" s="43">
        <f>SUMIFS('Journal Entries'!$L:$L,'Journal Entries'!$K:$K,$C65,'Journal Entries'!$C:$C,"&lt;="&amp;AY$8,'Journal Entries'!$C:$C,"&gt;"&amp;AX$8)</f>
        <v>0</v>
      </c>
      <c r="AZ65" s="43">
        <f>SUMIFS('Journal Entries'!$L:$L,'Journal Entries'!$K:$K,$C65,'Journal Entries'!$C:$C,"&lt;="&amp;AZ$8,'Journal Entries'!$C:$C,"&gt;"&amp;AY$8)</f>
        <v>0</v>
      </c>
      <c r="BA65" s="43">
        <f>SUMIFS('Journal Entries'!$L:$L,'Journal Entries'!$K:$K,$C65,'Journal Entries'!$C:$C,"&lt;="&amp;BA$8,'Journal Entries'!$C:$C,"&gt;"&amp;AZ$8)</f>
        <v>0</v>
      </c>
      <c r="BB65" s="43">
        <f>SUMIFS('Journal Entries'!$L:$L,'Journal Entries'!$K:$K,$C65,'Journal Entries'!$C:$C,"&lt;="&amp;BB$8,'Journal Entries'!$C:$C,"&gt;"&amp;BA$8)</f>
        <v>0</v>
      </c>
      <c r="BC65" s="43">
        <f>SUMIFS('Journal Entries'!$L:$L,'Journal Entries'!$K:$K,$C65,'Journal Entries'!$C:$C,"&lt;="&amp;BC$8,'Journal Entries'!$C:$C,"&gt;"&amp;BB$8)</f>
        <v>0</v>
      </c>
      <c r="BD65" s="43">
        <f>SUMIFS('Journal Entries'!$L:$L,'Journal Entries'!$K:$K,$C65,'Journal Entries'!$C:$C,"&lt;="&amp;BD$8,'Journal Entries'!$C:$C,"&gt;"&amp;BC$8)</f>
        <v>0</v>
      </c>
      <c r="BE65" s="43">
        <f>SUMIFS('Journal Entries'!$L:$L,'Journal Entries'!$K:$K,$C65,'Journal Entries'!$C:$C,"&lt;="&amp;BE$8,'Journal Entries'!$C:$C,"&gt;"&amp;BD$8)</f>
        <v>0</v>
      </c>
      <c r="BF65" s="43">
        <f>SUMIFS('Journal Entries'!$L:$L,'Journal Entries'!$K:$K,$C65,'Journal Entries'!$C:$C,"&lt;="&amp;BF$8,'Journal Entries'!$C:$C,"&gt;"&amp;BE$8)</f>
        <v>0</v>
      </c>
      <c r="BG65" s="43">
        <f>SUMIFS('Journal Entries'!$L:$L,'Journal Entries'!$K:$K,$C65,'Journal Entries'!$C:$C,"&lt;="&amp;BG$8,'Journal Entries'!$C:$C,"&gt;"&amp;BF$8)</f>
        <v>0</v>
      </c>
      <c r="BH65" s="43">
        <f>SUMIFS('Journal Entries'!$L:$L,'Journal Entries'!$K:$K,$C65,'Journal Entries'!$C:$C,"&lt;="&amp;BH$8,'Journal Entries'!$C:$C,"&gt;"&amp;BG$8)</f>
        <v>0</v>
      </c>
      <c r="BI65" s="43">
        <f>SUMIFS('Journal Entries'!$L:$L,'Journal Entries'!$K:$K,$C65,'Journal Entries'!$C:$C,"&lt;="&amp;BI$8,'Journal Entries'!$C:$C,"&gt;"&amp;BH$8)</f>
        <v>0</v>
      </c>
      <c r="BJ65" s="43">
        <f>SUMIFS('Journal Entries'!$L:$L,'Journal Entries'!$K:$K,$C65,'Journal Entries'!$C:$C,"&lt;="&amp;BJ$8,'Journal Entries'!$C:$C,"&gt;"&amp;BI$8)</f>
        <v>0</v>
      </c>
      <c r="BK65" s="43">
        <f>SUMIFS('Journal Entries'!$L:$L,'Journal Entries'!$K:$K,$C65,'Journal Entries'!$C:$C,"&lt;="&amp;BK$8,'Journal Entries'!$C:$C,"&gt;"&amp;BJ$8)</f>
        <v>0</v>
      </c>
      <c r="BL65" s="43">
        <f>SUMIFS('Journal Entries'!$L:$L,'Journal Entries'!$K:$K,$C65,'Journal Entries'!$C:$C,"&lt;="&amp;BL$8,'Journal Entries'!$C:$C,"&gt;"&amp;BK$8)</f>
        <v>0</v>
      </c>
    </row>
    <row r="66" spans="2:64" x14ac:dyDescent="0.25">
      <c r="B66" s="10">
        <v>5140</v>
      </c>
      <c r="C66" s="10" t="str">
        <f>VLOOKUP(B66,'Chart of Accounts'!$B$3:$C$95,2,0)</f>
        <v>Custody fee expense</v>
      </c>
      <c r="D66" s="525">
        <f t="shared" si="2"/>
        <v>0</v>
      </c>
      <c r="E66" s="43">
        <f>SUMIFS('Journal Entries'!$L:$L,'Journal Entries'!$K:$K,$C66,'Journal Entries'!$C:$C,"&lt;="&amp;E$8,'Journal Entries'!$C:$C,"&gt;"&amp;D$8)</f>
        <v>0</v>
      </c>
      <c r="F66" s="43">
        <f>SUMIFS('Journal Entries'!$L:$L,'Journal Entries'!$K:$K,$C66,'Journal Entries'!$C:$C,"&lt;="&amp;F$8,'Journal Entries'!$C:$C,"&gt;"&amp;E$8)</f>
        <v>0</v>
      </c>
      <c r="G66" s="43">
        <f>SUMIFS('Journal Entries'!$L:$L,'Journal Entries'!$K:$K,$C66,'Journal Entries'!$C:$C,"&lt;="&amp;G$8,'Journal Entries'!$C:$C,"&gt;"&amp;F$8)</f>
        <v>0</v>
      </c>
      <c r="H66" s="43">
        <f>SUMIFS('Journal Entries'!$L:$L,'Journal Entries'!$K:$K,$C66,'Journal Entries'!$C:$C,"&lt;="&amp;H$8,'Journal Entries'!$C:$C,"&gt;"&amp;G$8)</f>
        <v>0</v>
      </c>
      <c r="I66" s="43">
        <f>SUMIFS('Journal Entries'!$L:$L,'Journal Entries'!$K:$K,$C66,'Journal Entries'!$C:$C,"&lt;="&amp;I$8,'Journal Entries'!$C:$C,"&gt;"&amp;H$8)</f>
        <v>0</v>
      </c>
      <c r="J66" s="43">
        <f>SUMIFS('Journal Entries'!$L:$L,'Journal Entries'!$K:$K,$C66,'Journal Entries'!$C:$C,"&lt;="&amp;J$8,'Journal Entries'!$C:$C,"&gt;"&amp;I$8)</f>
        <v>0</v>
      </c>
      <c r="K66" s="43">
        <f>SUMIFS('Journal Entries'!$L:$L,'Journal Entries'!$K:$K,$C66,'Journal Entries'!$C:$C,"&lt;="&amp;K$8,'Journal Entries'!$C:$C,"&gt;"&amp;J$8)</f>
        <v>0</v>
      </c>
      <c r="L66" s="43">
        <f>SUMIFS('Journal Entries'!$L:$L,'Journal Entries'!$K:$K,$C66,'Journal Entries'!$C:$C,"&lt;="&amp;L$8,'Journal Entries'!$C:$C,"&gt;"&amp;K$8)</f>
        <v>0</v>
      </c>
      <c r="M66" s="43">
        <f>SUMIFS('Journal Entries'!$L:$L,'Journal Entries'!$K:$K,$C66,'Journal Entries'!$C:$C,"&lt;="&amp;M$8,'Journal Entries'!$C:$C,"&gt;"&amp;L$8)</f>
        <v>0</v>
      </c>
      <c r="N66" s="43">
        <f>SUMIFS('Journal Entries'!$L:$L,'Journal Entries'!$K:$K,$C66,'Journal Entries'!$C:$C,"&lt;="&amp;N$8,'Journal Entries'!$C:$C,"&gt;"&amp;M$8)</f>
        <v>0</v>
      </c>
      <c r="O66" s="43">
        <f>SUMIFS('Journal Entries'!$L:$L,'Journal Entries'!$K:$K,$C66,'Journal Entries'!$C:$C,"&lt;="&amp;O$8,'Journal Entries'!$C:$C,"&gt;"&amp;N$8)</f>
        <v>0</v>
      </c>
      <c r="P66" s="43">
        <f>SUMIFS('Journal Entries'!$L:$L,'Journal Entries'!$K:$K,$C66,'Journal Entries'!$C:$C,"&lt;="&amp;P$8,'Journal Entries'!$C:$C,"&gt;"&amp;O$8)</f>
        <v>0</v>
      </c>
      <c r="Q66" s="43">
        <f>SUMIFS('Journal Entries'!$L:$L,'Journal Entries'!$K:$K,$C66,'Journal Entries'!$C:$C,"&lt;="&amp;Q$8,'Journal Entries'!$C:$C,"&gt;"&amp;P$8)</f>
        <v>0</v>
      </c>
      <c r="R66" s="43">
        <f>SUMIFS('Journal Entries'!$L:$L,'Journal Entries'!$K:$K,$C66,'Journal Entries'!$C:$C,"&lt;="&amp;R$8,'Journal Entries'!$C:$C,"&gt;"&amp;Q$8)</f>
        <v>0</v>
      </c>
      <c r="S66" s="43">
        <f>SUMIFS('Journal Entries'!$L:$L,'Journal Entries'!$K:$K,$C66,'Journal Entries'!$C:$C,"&lt;="&amp;S$8,'Journal Entries'!$C:$C,"&gt;"&amp;R$8)</f>
        <v>0</v>
      </c>
      <c r="T66" s="43">
        <f>SUMIFS('Journal Entries'!$L:$L,'Journal Entries'!$K:$K,$C66,'Journal Entries'!$C:$C,"&lt;="&amp;T$8,'Journal Entries'!$C:$C,"&gt;"&amp;S$8)</f>
        <v>0</v>
      </c>
      <c r="U66" s="43">
        <f>SUMIFS('Journal Entries'!$L:$L,'Journal Entries'!$K:$K,$C66,'Journal Entries'!$C:$C,"&lt;="&amp;U$8,'Journal Entries'!$C:$C,"&gt;"&amp;T$8)</f>
        <v>0</v>
      </c>
      <c r="V66" s="43">
        <f>SUMIFS('Journal Entries'!$L:$L,'Journal Entries'!$K:$K,$C66,'Journal Entries'!$C:$C,"&lt;="&amp;V$8,'Journal Entries'!$C:$C,"&gt;"&amp;U$8)</f>
        <v>0</v>
      </c>
      <c r="W66" s="43">
        <f>SUMIFS('Journal Entries'!$L:$L,'Journal Entries'!$K:$K,$C66,'Journal Entries'!$C:$C,"&lt;="&amp;W$8,'Journal Entries'!$C:$C,"&gt;"&amp;V$8)</f>
        <v>0</v>
      </c>
      <c r="X66" s="43">
        <f>SUMIFS('Journal Entries'!$L:$L,'Journal Entries'!$K:$K,$C66,'Journal Entries'!$C:$C,"&lt;="&amp;X$8,'Journal Entries'!$C:$C,"&gt;"&amp;W$8)</f>
        <v>0</v>
      </c>
      <c r="Y66" s="43">
        <f>SUMIFS('Journal Entries'!$L:$L,'Journal Entries'!$K:$K,$C66,'Journal Entries'!$C:$C,"&lt;="&amp;Y$8,'Journal Entries'!$C:$C,"&gt;"&amp;X$8)</f>
        <v>0</v>
      </c>
      <c r="Z66" s="43">
        <f>SUMIFS('Journal Entries'!$L:$L,'Journal Entries'!$K:$K,$C66,'Journal Entries'!$C:$C,"&lt;="&amp;Z$8,'Journal Entries'!$C:$C,"&gt;"&amp;Y$8)</f>
        <v>0</v>
      </c>
      <c r="AA66" s="43">
        <f>SUMIFS('Journal Entries'!$L:$L,'Journal Entries'!$K:$K,$C66,'Journal Entries'!$C:$C,"&lt;="&amp;AA$8,'Journal Entries'!$C:$C,"&gt;"&amp;Z$8)</f>
        <v>0</v>
      </c>
      <c r="AB66" s="43">
        <f>SUMIFS('Journal Entries'!$L:$L,'Journal Entries'!$K:$K,$C66,'Journal Entries'!$C:$C,"&lt;="&amp;AB$8,'Journal Entries'!$C:$C,"&gt;"&amp;AA$8)</f>
        <v>0</v>
      </c>
      <c r="AC66" s="43">
        <f>SUMIFS('Journal Entries'!$L:$L,'Journal Entries'!$K:$K,$C66,'Journal Entries'!$C:$C,"&lt;="&amp;AC$8,'Journal Entries'!$C:$C,"&gt;"&amp;AB$8)</f>
        <v>0</v>
      </c>
      <c r="AD66" s="43">
        <f>SUMIFS('Journal Entries'!$L:$L,'Journal Entries'!$K:$K,$C66,'Journal Entries'!$C:$C,"&lt;="&amp;AD$8,'Journal Entries'!$C:$C,"&gt;"&amp;AC$8)</f>
        <v>0</v>
      </c>
      <c r="AE66" s="43">
        <f>SUMIFS('Journal Entries'!$L:$L,'Journal Entries'!$K:$K,$C66,'Journal Entries'!$C:$C,"&lt;="&amp;AE$8,'Journal Entries'!$C:$C,"&gt;"&amp;AD$8)</f>
        <v>0</v>
      </c>
      <c r="AF66" s="43">
        <f>SUMIFS('Journal Entries'!$L:$L,'Journal Entries'!$K:$K,$C66,'Journal Entries'!$C:$C,"&lt;="&amp;AF$8,'Journal Entries'!$C:$C,"&gt;"&amp;AE$8)</f>
        <v>0</v>
      </c>
      <c r="AG66" s="43">
        <f>SUMIFS('Journal Entries'!$L:$L,'Journal Entries'!$K:$K,$C66,'Journal Entries'!$C:$C,"&lt;="&amp;AG$8,'Journal Entries'!$C:$C,"&gt;"&amp;AF$8)</f>
        <v>0</v>
      </c>
      <c r="AH66" s="43">
        <f>SUMIFS('Journal Entries'!$L:$L,'Journal Entries'!$K:$K,$C66,'Journal Entries'!$C:$C,"&lt;="&amp;AH$8,'Journal Entries'!$C:$C,"&gt;"&amp;AG$8)</f>
        <v>0</v>
      </c>
      <c r="AI66" s="43">
        <f>SUMIFS('Journal Entries'!$L:$L,'Journal Entries'!$K:$K,$C66,'Journal Entries'!$C:$C,"&lt;="&amp;AI$8,'Journal Entries'!$C:$C,"&gt;"&amp;AH$8)</f>
        <v>0</v>
      </c>
      <c r="AJ66" s="43">
        <f>SUMIFS('Journal Entries'!$L:$L,'Journal Entries'!$K:$K,$C66,'Journal Entries'!$C:$C,"&lt;="&amp;AJ$8,'Journal Entries'!$C:$C,"&gt;"&amp;AI$8)</f>
        <v>0</v>
      </c>
      <c r="AK66" s="43">
        <f>SUMIFS('Journal Entries'!$L:$L,'Journal Entries'!$K:$K,$C66,'Journal Entries'!$C:$C,"&lt;="&amp;AK$8,'Journal Entries'!$C:$C,"&gt;"&amp;AJ$8)</f>
        <v>0</v>
      </c>
      <c r="AL66" s="43">
        <f>SUMIFS('Journal Entries'!$L:$L,'Journal Entries'!$K:$K,$C66,'Journal Entries'!$C:$C,"&lt;="&amp;AL$8,'Journal Entries'!$C:$C,"&gt;"&amp;AK$8)</f>
        <v>0</v>
      </c>
      <c r="AM66" s="43">
        <f>SUMIFS('Journal Entries'!$L:$L,'Journal Entries'!$K:$K,$C66,'Journal Entries'!$C:$C,"&lt;="&amp;AM$8,'Journal Entries'!$C:$C,"&gt;"&amp;AL$8)</f>
        <v>0</v>
      </c>
      <c r="AN66" s="43">
        <f>SUMIFS('Journal Entries'!$L:$L,'Journal Entries'!$K:$K,$C66,'Journal Entries'!$C:$C,"&lt;="&amp;AN$8,'Journal Entries'!$C:$C,"&gt;"&amp;AM$8)</f>
        <v>0</v>
      </c>
      <c r="AO66" s="43">
        <f>SUMIFS('Journal Entries'!$L:$L,'Journal Entries'!$K:$K,$C66,'Journal Entries'!$C:$C,"&lt;="&amp;AO$8,'Journal Entries'!$C:$C,"&gt;"&amp;AN$8)</f>
        <v>0</v>
      </c>
      <c r="AP66" s="43">
        <f>SUMIFS('Journal Entries'!$L:$L,'Journal Entries'!$K:$K,$C66,'Journal Entries'!$C:$C,"&lt;="&amp;AP$8,'Journal Entries'!$C:$C,"&gt;"&amp;AO$8)</f>
        <v>0</v>
      </c>
      <c r="AQ66" s="43">
        <f>SUMIFS('Journal Entries'!$L:$L,'Journal Entries'!$K:$K,$C66,'Journal Entries'!$C:$C,"&lt;="&amp;AQ$8,'Journal Entries'!$C:$C,"&gt;"&amp;AP$8)</f>
        <v>0</v>
      </c>
      <c r="AR66" s="43">
        <f>SUMIFS('Journal Entries'!$L:$L,'Journal Entries'!$K:$K,$C66,'Journal Entries'!$C:$C,"&lt;="&amp;AR$8,'Journal Entries'!$C:$C,"&gt;"&amp;AQ$8)</f>
        <v>0</v>
      </c>
      <c r="AS66" s="43">
        <f>SUMIFS('Journal Entries'!$L:$L,'Journal Entries'!$K:$K,$C66,'Journal Entries'!$C:$C,"&lt;="&amp;AS$8,'Journal Entries'!$C:$C,"&gt;"&amp;AR$8)</f>
        <v>0</v>
      </c>
      <c r="AT66" s="43">
        <f>SUMIFS('Journal Entries'!$L:$L,'Journal Entries'!$K:$K,$C66,'Journal Entries'!$C:$C,"&lt;="&amp;AT$8,'Journal Entries'!$C:$C,"&gt;"&amp;AS$8)</f>
        <v>0</v>
      </c>
      <c r="AU66" s="43">
        <f>SUMIFS('Journal Entries'!$L:$L,'Journal Entries'!$K:$K,$C66,'Journal Entries'!$C:$C,"&lt;="&amp;AU$8,'Journal Entries'!$C:$C,"&gt;"&amp;AT$8)</f>
        <v>0</v>
      </c>
      <c r="AV66" s="43">
        <f>SUMIFS('Journal Entries'!$L:$L,'Journal Entries'!$K:$K,$C66,'Journal Entries'!$C:$C,"&lt;="&amp;AV$8,'Journal Entries'!$C:$C,"&gt;"&amp;AU$8)</f>
        <v>0</v>
      </c>
      <c r="AW66" s="43">
        <f>SUMIFS('Journal Entries'!$L:$L,'Journal Entries'!$K:$K,$C66,'Journal Entries'!$C:$C,"&lt;="&amp;AW$8,'Journal Entries'!$C:$C,"&gt;"&amp;AV$8)</f>
        <v>0</v>
      </c>
      <c r="AX66" s="43">
        <f>SUMIFS('Journal Entries'!$L:$L,'Journal Entries'!$K:$K,$C66,'Journal Entries'!$C:$C,"&lt;="&amp;AX$8,'Journal Entries'!$C:$C,"&gt;"&amp;AW$8)</f>
        <v>0</v>
      </c>
      <c r="AY66" s="43">
        <f>SUMIFS('Journal Entries'!$L:$L,'Journal Entries'!$K:$K,$C66,'Journal Entries'!$C:$C,"&lt;="&amp;AY$8,'Journal Entries'!$C:$C,"&gt;"&amp;AX$8)</f>
        <v>0</v>
      </c>
      <c r="AZ66" s="43">
        <f>SUMIFS('Journal Entries'!$L:$L,'Journal Entries'!$K:$K,$C66,'Journal Entries'!$C:$C,"&lt;="&amp;AZ$8,'Journal Entries'!$C:$C,"&gt;"&amp;AY$8)</f>
        <v>0</v>
      </c>
      <c r="BA66" s="43">
        <f>SUMIFS('Journal Entries'!$L:$L,'Journal Entries'!$K:$K,$C66,'Journal Entries'!$C:$C,"&lt;="&amp;BA$8,'Journal Entries'!$C:$C,"&gt;"&amp;AZ$8)</f>
        <v>0</v>
      </c>
      <c r="BB66" s="43">
        <f>SUMIFS('Journal Entries'!$L:$L,'Journal Entries'!$K:$K,$C66,'Journal Entries'!$C:$C,"&lt;="&amp;BB$8,'Journal Entries'!$C:$C,"&gt;"&amp;BA$8)</f>
        <v>0</v>
      </c>
      <c r="BC66" s="43">
        <f>SUMIFS('Journal Entries'!$L:$L,'Journal Entries'!$K:$K,$C66,'Journal Entries'!$C:$C,"&lt;="&amp;BC$8,'Journal Entries'!$C:$C,"&gt;"&amp;BB$8)</f>
        <v>0</v>
      </c>
      <c r="BD66" s="43">
        <f>SUMIFS('Journal Entries'!$L:$L,'Journal Entries'!$K:$K,$C66,'Journal Entries'!$C:$C,"&lt;="&amp;BD$8,'Journal Entries'!$C:$C,"&gt;"&amp;BC$8)</f>
        <v>0</v>
      </c>
      <c r="BE66" s="43">
        <f>SUMIFS('Journal Entries'!$L:$L,'Journal Entries'!$K:$K,$C66,'Journal Entries'!$C:$C,"&lt;="&amp;BE$8,'Journal Entries'!$C:$C,"&gt;"&amp;BD$8)</f>
        <v>0</v>
      </c>
      <c r="BF66" s="43">
        <f>SUMIFS('Journal Entries'!$L:$L,'Journal Entries'!$K:$K,$C66,'Journal Entries'!$C:$C,"&lt;="&amp;BF$8,'Journal Entries'!$C:$C,"&gt;"&amp;BE$8)</f>
        <v>0</v>
      </c>
      <c r="BG66" s="43">
        <f>SUMIFS('Journal Entries'!$L:$L,'Journal Entries'!$K:$K,$C66,'Journal Entries'!$C:$C,"&lt;="&amp;BG$8,'Journal Entries'!$C:$C,"&gt;"&amp;BF$8)</f>
        <v>0</v>
      </c>
      <c r="BH66" s="43">
        <f>SUMIFS('Journal Entries'!$L:$L,'Journal Entries'!$K:$K,$C66,'Journal Entries'!$C:$C,"&lt;="&amp;BH$8,'Journal Entries'!$C:$C,"&gt;"&amp;BG$8)</f>
        <v>0</v>
      </c>
      <c r="BI66" s="43">
        <f>SUMIFS('Journal Entries'!$L:$L,'Journal Entries'!$K:$K,$C66,'Journal Entries'!$C:$C,"&lt;="&amp;BI$8,'Journal Entries'!$C:$C,"&gt;"&amp;BH$8)</f>
        <v>0</v>
      </c>
      <c r="BJ66" s="43">
        <f>SUMIFS('Journal Entries'!$L:$L,'Journal Entries'!$K:$K,$C66,'Journal Entries'!$C:$C,"&lt;="&amp;BJ$8,'Journal Entries'!$C:$C,"&gt;"&amp;BI$8)</f>
        <v>0</v>
      </c>
      <c r="BK66" s="43">
        <f>SUMIFS('Journal Entries'!$L:$L,'Journal Entries'!$K:$K,$C66,'Journal Entries'!$C:$C,"&lt;="&amp;BK$8,'Journal Entries'!$C:$C,"&gt;"&amp;BJ$8)</f>
        <v>0</v>
      </c>
      <c r="BL66" s="43">
        <f>SUMIFS('Journal Entries'!$L:$L,'Journal Entries'!$K:$K,$C66,'Journal Entries'!$C:$C,"&lt;="&amp;BL$8,'Journal Entries'!$C:$C,"&gt;"&amp;BK$8)</f>
        <v>0</v>
      </c>
    </row>
    <row r="67" spans="2:64" x14ac:dyDescent="0.25">
      <c r="B67" s="10">
        <v>5150</v>
      </c>
      <c r="C67" s="10" t="str">
        <f>VLOOKUP(B67,'Chart of Accounts'!$B$3:$C$95,2,0)</f>
        <v>Office supplies expense</v>
      </c>
      <c r="D67" s="525">
        <f t="shared" si="2"/>
        <v>0</v>
      </c>
      <c r="E67" s="43">
        <f>SUMIFS('Journal Entries'!$L:$L,'Journal Entries'!$K:$K,$C67,'Journal Entries'!$C:$C,"&lt;="&amp;E$8,'Journal Entries'!$C:$C,"&gt;"&amp;D$8)</f>
        <v>0</v>
      </c>
      <c r="F67" s="43">
        <f>SUMIFS('Journal Entries'!$L:$L,'Journal Entries'!$K:$K,$C67,'Journal Entries'!$C:$C,"&lt;="&amp;F$8,'Journal Entries'!$C:$C,"&gt;"&amp;E$8)</f>
        <v>0</v>
      </c>
      <c r="G67" s="43">
        <f>SUMIFS('Journal Entries'!$L:$L,'Journal Entries'!$K:$K,$C67,'Journal Entries'!$C:$C,"&lt;="&amp;G$8,'Journal Entries'!$C:$C,"&gt;"&amp;F$8)</f>
        <v>0</v>
      </c>
      <c r="H67" s="43">
        <f>SUMIFS('Journal Entries'!$L:$L,'Journal Entries'!$K:$K,$C67,'Journal Entries'!$C:$C,"&lt;="&amp;H$8,'Journal Entries'!$C:$C,"&gt;"&amp;G$8)</f>
        <v>0</v>
      </c>
      <c r="I67" s="43">
        <f>SUMIFS('Journal Entries'!$L:$L,'Journal Entries'!$K:$K,$C67,'Journal Entries'!$C:$C,"&lt;="&amp;I$8,'Journal Entries'!$C:$C,"&gt;"&amp;H$8)</f>
        <v>0</v>
      </c>
      <c r="J67" s="43">
        <f>SUMIFS('Journal Entries'!$L:$L,'Journal Entries'!$K:$K,$C67,'Journal Entries'!$C:$C,"&lt;="&amp;J$8,'Journal Entries'!$C:$C,"&gt;"&amp;I$8)</f>
        <v>0</v>
      </c>
      <c r="K67" s="43">
        <f>SUMIFS('Journal Entries'!$L:$L,'Journal Entries'!$K:$K,$C67,'Journal Entries'!$C:$C,"&lt;="&amp;K$8,'Journal Entries'!$C:$C,"&gt;"&amp;J$8)</f>
        <v>0</v>
      </c>
      <c r="L67" s="43">
        <f>SUMIFS('Journal Entries'!$L:$L,'Journal Entries'!$K:$K,$C67,'Journal Entries'!$C:$C,"&lt;="&amp;L$8,'Journal Entries'!$C:$C,"&gt;"&amp;K$8)</f>
        <v>0</v>
      </c>
      <c r="M67" s="43">
        <f>SUMIFS('Journal Entries'!$L:$L,'Journal Entries'!$K:$K,$C67,'Journal Entries'!$C:$C,"&lt;="&amp;M$8,'Journal Entries'!$C:$C,"&gt;"&amp;L$8)</f>
        <v>0</v>
      </c>
      <c r="N67" s="43">
        <f>SUMIFS('Journal Entries'!$L:$L,'Journal Entries'!$K:$K,$C67,'Journal Entries'!$C:$C,"&lt;="&amp;N$8,'Journal Entries'!$C:$C,"&gt;"&amp;M$8)</f>
        <v>0</v>
      </c>
      <c r="O67" s="43">
        <f>SUMIFS('Journal Entries'!$L:$L,'Journal Entries'!$K:$K,$C67,'Journal Entries'!$C:$C,"&lt;="&amp;O$8,'Journal Entries'!$C:$C,"&gt;"&amp;N$8)</f>
        <v>0</v>
      </c>
      <c r="P67" s="43">
        <f>SUMIFS('Journal Entries'!$L:$L,'Journal Entries'!$K:$K,$C67,'Journal Entries'!$C:$C,"&lt;="&amp;P$8,'Journal Entries'!$C:$C,"&gt;"&amp;O$8)</f>
        <v>0</v>
      </c>
      <c r="Q67" s="43">
        <f>SUMIFS('Journal Entries'!$L:$L,'Journal Entries'!$K:$K,$C67,'Journal Entries'!$C:$C,"&lt;="&amp;Q$8,'Journal Entries'!$C:$C,"&gt;"&amp;P$8)</f>
        <v>0</v>
      </c>
      <c r="R67" s="43">
        <f>SUMIFS('Journal Entries'!$L:$L,'Journal Entries'!$K:$K,$C67,'Journal Entries'!$C:$C,"&lt;="&amp;R$8,'Journal Entries'!$C:$C,"&gt;"&amp;Q$8)</f>
        <v>0</v>
      </c>
      <c r="S67" s="43">
        <f>SUMIFS('Journal Entries'!$L:$L,'Journal Entries'!$K:$K,$C67,'Journal Entries'!$C:$C,"&lt;="&amp;S$8,'Journal Entries'!$C:$C,"&gt;"&amp;R$8)</f>
        <v>0</v>
      </c>
      <c r="T67" s="43">
        <f>SUMIFS('Journal Entries'!$L:$L,'Journal Entries'!$K:$K,$C67,'Journal Entries'!$C:$C,"&lt;="&amp;T$8,'Journal Entries'!$C:$C,"&gt;"&amp;S$8)</f>
        <v>0</v>
      </c>
      <c r="U67" s="43">
        <f>SUMIFS('Journal Entries'!$L:$L,'Journal Entries'!$K:$K,$C67,'Journal Entries'!$C:$C,"&lt;="&amp;U$8,'Journal Entries'!$C:$C,"&gt;"&amp;T$8)</f>
        <v>0</v>
      </c>
      <c r="V67" s="43">
        <f>SUMIFS('Journal Entries'!$L:$L,'Journal Entries'!$K:$K,$C67,'Journal Entries'!$C:$C,"&lt;="&amp;V$8,'Journal Entries'!$C:$C,"&gt;"&amp;U$8)</f>
        <v>0</v>
      </c>
      <c r="W67" s="43">
        <f>SUMIFS('Journal Entries'!$L:$L,'Journal Entries'!$K:$K,$C67,'Journal Entries'!$C:$C,"&lt;="&amp;W$8,'Journal Entries'!$C:$C,"&gt;"&amp;V$8)</f>
        <v>0</v>
      </c>
      <c r="X67" s="43">
        <f>SUMIFS('Journal Entries'!$L:$L,'Journal Entries'!$K:$K,$C67,'Journal Entries'!$C:$C,"&lt;="&amp;X$8,'Journal Entries'!$C:$C,"&gt;"&amp;W$8)</f>
        <v>0</v>
      </c>
      <c r="Y67" s="43">
        <f>SUMIFS('Journal Entries'!$L:$L,'Journal Entries'!$K:$K,$C67,'Journal Entries'!$C:$C,"&lt;="&amp;Y$8,'Journal Entries'!$C:$C,"&gt;"&amp;X$8)</f>
        <v>0</v>
      </c>
      <c r="Z67" s="43">
        <f>SUMIFS('Journal Entries'!$L:$L,'Journal Entries'!$K:$K,$C67,'Journal Entries'!$C:$C,"&lt;="&amp;Z$8,'Journal Entries'!$C:$C,"&gt;"&amp;Y$8)</f>
        <v>0</v>
      </c>
      <c r="AA67" s="43">
        <f>SUMIFS('Journal Entries'!$L:$L,'Journal Entries'!$K:$K,$C67,'Journal Entries'!$C:$C,"&lt;="&amp;AA$8,'Journal Entries'!$C:$C,"&gt;"&amp;Z$8)</f>
        <v>0</v>
      </c>
      <c r="AB67" s="43">
        <f>SUMIFS('Journal Entries'!$L:$L,'Journal Entries'!$K:$K,$C67,'Journal Entries'!$C:$C,"&lt;="&amp;AB$8,'Journal Entries'!$C:$C,"&gt;"&amp;AA$8)</f>
        <v>0</v>
      </c>
      <c r="AC67" s="43">
        <f>SUMIFS('Journal Entries'!$L:$L,'Journal Entries'!$K:$K,$C67,'Journal Entries'!$C:$C,"&lt;="&amp;AC$8,'Journal Entries'!$C:$C,"&gt;"&amp;AB$8)</f>
        <v>0</v>
      </c>
      <c r="AD67" s="43">
        <f>SUMIFS('Journal Entries'!$L:$L,'Journal Entries'!$K:$K,$C67,'Journal Entries'!$C:$C,"&lt;="&amp;AD$8,'Journal Entries'!$C:$C,"&gt;"&amp;AC$8)</f>
        <v>0</v>
      </c>
      <c r="AE67" s="43">
        <f>SUMIFS('Journal Entries'!$L:$L,'Journal Entries'!$K:$K,$C67,'Journal Entries'!$C:$C,"&lt;="&amp;AE$8,'Journal Entries'!$C:$C,"&gt;"&amp;AD$8)</f>
        <v>0</v>
      </c>
      <c r="AF67" s="43">
        <f>SUMIFS('Journal Entries'!$L:$L,'Journal Entries'!$K:$K,$C67,'Journal Entries'!$C:$C,"&lt;="&amp;AF$8,'Journal Entries'!$C:$C,"&gt;"&amp;AE$8)</f>
        <v>0</v>
      </c>
      <c r="AG67" s="43">
        <f>SUMIFS('Journal Entries'!$L:$L,'Journal Entries'!$K:$K,$C67,'Journal Entries'!$C:$C,"&lt;="&amp;AG$8,'Journal Entries'!$C:$C,"&gt;"&amp;AF$8)</f>
        <v>0</v>
      </c>
      <c r="AH67" s="43">
        <f>SUMIFS('Journal Entries'!$L:$L,'Journal Entries'!$K:$K,$C67,'Journal Entries'!$C:$C,"&lt;="&amp;AH$8,'Journal Entries'!$C:$C,"&gt;"&amp;AG$8)</f>
        <v>0</v>
      </c>
      <c r="AI67" s="43">
        <f>SUMIFS('Journal Entries'!$L:$L,'Journal Entries'!$K:$K,$C67,'Journal Entries'!$C:$C,"&lt;="&amp;AI$8,'Journal Entries'!$C:$C,"&gt;"&amp;AH$8)</f>
        <v>0</v>
      </c>
      <c r="AJ67" s="43">
        <f>SUMIFS('Journal Entries'!$L:$L,'Journal Entries'!$K:$K,$C67,'Journal Entries'!$C:$C,"&lt;="&amp;AJ$8,'Journal Entries'!$C:$C,"&gt;"&amp;AI$8)</f>
        <v>0</v>
      </c>
      <c r="AK67" s="43">
        <f>SUMIFS('Journal Entries'!$L:$L,'Journal Entries'!$K:$K,$C67,'Journal Entries'!$C:$C,"&lt;="&amp;AK$8,'Journal Entries'!$C:$C,"&gt;"&amp;AJ$8)</f>
        <v>0</v>
      </c>
      <c r="AL67" s="43">
        <f>SUMIFS('Journal Entries'!$L:$L,'Journal Entries'!$K:$K,$C67,'Journal Entries'!$C:$C,"&lt;="&amp;AL$8,'Journal Entries'!$C:$C,"&gt;"&amp;AK$8)</f>
        <v>0</v>
      </c>
      <c r="AM67" s="43">
        <f>SUMIFS('Journal Entries'!$L:$L,'Journal Entries'!$K:$K,$C67,'Journal Entries'!$C:$C,"&lt;="&amp;AM$8,'Journal Entries'!$C:$C,"&gt;"&amp;AL$8)</f>
        <v>0</v>
      </c>
      <c r="AN67" s="43">
        <f>SUMIFS('Journal Entries'!$L:$L,'Journal Entries'!$K:$K,$C67,'Journal Entries'!$C:$C,"&lt;="&amp;AN$8,'Journal Entries'!$C:$C,"&gt;"&amp;AM$8)</f>
        <v>0</v>
      </c>
      <c r="AO67" s="43">
        <f>SUMIFS('Journal Entries'!$L:$L,'Journal Entries'!$K:$K,$C67,'Journal Entries'!$C:$C,"&lt;="&amp;AO$8,'Journal Entries'!$C:$C,"&gt;"&amp;AN$8)</f>
        <v>0</v>
      </c>
      <c r="AP67" s="43">
        <f>SUMIFS('Journal Entries'!$L:$L,'Journal Entries'!$K:$K,$C67,'Journal Entries'!$C:$C,"&lt;="&amp;AP$8,'Journal Entries'!$C:$C,"&gt;"&amp;AO$8)</f>
        <v>0</v>
      </c>
      <c r="AQ67" s="43">
        <f>SUMIFS('Journal Entries'!$L:$L,'Journal Entries'!$K:$K,$C67,'Journal Entries'!$C:$C,"&lt;="&amp;AQ$8,'Journal Entries'!$C:$C,"&gt;"&amp;AP$8)</f>
        <v>0</v>
      </c>
      <c r="AR67" s="43">
        <f>SUMIFS('Journal Entries'!$L:$L,'Journal Entries'!$K:$K,$C67,'Journal Entries'!$C:$C,"&lt;="&amp;AR$8,'Journal Entries'!$C:$C,"&gt;"&amp;AQ$8)</f>
        <v>0</v>
      </c>
      <c r="AS67" s="43">
        <f>SUMIFS('Journal Entries'!$L:$L,'Journal Entries'!$K:$K,$C67,'Journal Entries'!$C:$C,"&lt;="&amp;AS$8,'Journal Entries'!$C:$C,"&gt;"&amp;AR$8)</f>
        <v>0</v>
      </c>
      <c r="AT67" s="43">
        <f>SUMIFS('Journal Entries'!$L:$L,'Journal Entries'!$K:$K,$C67,'Journal Entries'!$C:$C,"&lt;="&amp;AT$8,'Journal Entries'!$C:$C,"&gt;"&amp;AS$8)</f>
        <v>0</v>
      </c>
      <c r="AU67" s="43">
        <f>SUMIFS('Journal Entries'!$L:$L,'Journal Entries'!$K:$K,$C67,'Journal Entries'!$C:$C,"&lt;="&amp;AU$8,'Journal Entries'!$C:$C,"&gt;"&amp;AT$8)</f>
        <v>0</v>
      </c>
      <c r="AV67" s="43">
        <f>SUMIFS('Journal Entries'!$L:$L,'Journal Entries'!$K:$K,$C67,'Journal Entries'!$C:$C,"&lt;="&amp;AV$8,'Journal Entries'!$C:$C,"&gt;"&amp;AU$8)</f>
        <v>0</v>
      </c>
      <c r="AW67" s="43">
        <f>SUMIFS('Journal Entries'!$L:$L,'Journal Entries'!$K:$K,$C67,'Journal Entries'!$C:$C,"&lt;="&amp;AW$8,'Journal Entries'!$C:$C,"&gt;"&amp;AV$8)</f>
        <v>0</v>
      </c>
      <c r="AX67" s="43">
        <f>SUMIFS('Journal Entries'!$L:$L,'Journal Entries'!$K:$K,$C67,'Journal Entries'!$C:$C,"&lt;="&amp;AX$8,'Journal Entries'!$C:$C,"&gt;"&amp;AW$8)</f>
        <v>0</v>
      </c>
      <c r="AY67" s="43">
        <f>SUMIFS('Journal Entries'!$L:$L,'Journal Entries'!$K:$K,$C67,'Journal Entries'!$C:$C,"&lt;="&amp;AY$8,'Journal Entries'!$C:$C,"&gt;"&amp;AX$8)</f>
        <v>0</v>
      </c>
      <c r="AZ67" s="43">
        <f>SUMIFS('Journal Entries'!$L:$L,'Journal Entries'!$K:$K,$C67,'Journal Entries'!$C:$C,"&lt;="&amp;AZ$8,'Journal Entries'!$C:$C,"&gt;"&amp;AY$8)</f>
        <v>0</v>
      </c>
      <c r="BA67" s="43">
        <f>SUMIFS('Journal Entries'!$L:$L,'Journal Entries'!$K:$K,$C67,'Journal Entries'!$C:$C,"&lt;="&amp;BA$8,'Journal Entries'!$C:$C,"&gt;"&amp;AZ$8)</f>
        <v>0</v>
      </c>
      <c r="BB67" s="43">
        <f>SUMIFS('Journal Entries'!$L:$L,'Journal Entries'!$K:$K,$C67,'Journal Entries'!$C:$C,"&lt;="&amp;BB$8,'Journal Entries'!$C:$C,"&gt;"&amp;BA$8)</f>
        <v>0</v>
      </c>
      <c r="BC67" s="43">
        <f>SUMIFS('Journal Entries'!$L:$L,'Journal Entries'!$K:$K,$C67,'Journal Entries'!$C:$C,"&lt;="&amp;BC$8,'Journal Entries'!$C:$C,"&gt;"&amp;BB$8)</f>
        <v>0</v>
      </c>
      <c r="BD67" s="43">
        <f>SUMIFS('Journal Entries'!$L:$L,'Journal Entries'!$K:$K,$C67,'Journal Entries'!$C:$C,"&lt;="&amp;BD$8,'Journal Entries'!$C:$C,"&gt;"&amp;BC$8)</f>
        <v>0</v>
      </c>
      <c r="BE67" s="43">
        <f>SUMIFS('Journal Entries'!$L:$L,'Journal Entries'!$K:$K,$C67,'Journal Entries'!$C:$C,"&lt;="&amp;BE$8,'Journal Entries'!$C:$C,"&gt;"&amp;BD$8)</f>
        <v>0</v>
      </c>
      <c r="BF67" s="43">
        <f>SUMIFS('Journal Entries'!$L:$L,'Journal Entries'!$K:$K,$C67,'Journal Entries'!$C:$C,"&lt;="&amp;BF$8,'Journal Entries'!$C:$C,"&gt;"&amp;BE$8)</f>
        <v>0</v>
      </c>
      <c r="BG67" s="43">
        <f>SUMIFS('Journal Entries'!$L:$L,'Journal Entries'!$K:$K,$C67,'Journal Entries'!$C:$C,"&lt;="&amp;BG$8,'Journal Entries'!$C:$C,"&gt;"&amp;BF$8)</f>
        <v>0</v>
      </c>
      <c r="BH67" s="43">
        <f>SUMIFS('Journal Entries'!$L:$L,'Journal Entries'!$K:$K,$C67,'Journal Entries'!$C:$C,"&lt;="&amp;BH$8,'Journal Entries'!$C:$C,"&gt;"&amp;BG$8)</f>
        <v>0</v>
      </c>
      <c r="BI67" s="43">
        <f>SUMIFS('Journal Entries'!$L:$L,'Journal Entries'!$K:$K,$C67,'Journal Entries'!$C:$C,"&lt;="&amp;BI$8,'Journal Entries'!$C:$C,"&gt;"&amp;BH$8)</f>
        <v>0</v>
      </c>
      <c r="BJ67" s="43">
        <f>SUMIFS('Journal Entries'!$L:$L,'Journal Entries'!$K:$K,$C67,'Journal Entries'!$C:$C,"&lt;="&amp;BJ$8,'Journal Entries'!$C:$C,"&gt;"&amp;BI$8)</f>
        <v>0</v>
      </c>
      <c r="BK67" s="43">
        <f>SUMIFS('Journal Entries'!$L:$L,'Journal Entries'!$K:$K,$C67,'Journal Entries'!$C:$C,"&lt;="&amp;BK$8,'Journal Entries'!$C:$C,"&gt;"&amp;BJ$8)</f>
        <v>0</v>
      </c>
      <c r="BL67" s="43">
        <f>SUMIFS('Journal Entries'!$L:$L,'Journal Entries'!$K:$K,$C67,'Journal Entries'!$C:$C,"&lt;="&amp;BL$8,'Journal Entries'!$C:$C,"&gt;"&amp;BK$8)</f>
        <v>0</v>
      </c>
    </row>
    <row r="68" spans="2:64" x14ac:dyDescent="0.25">
      <c r="B68" s="10">
        <v>5160</v>
      </c>
      <c r="C68" s="10" t="str">
        <f>VLOOKUP(B68,'Chart of Accounts'!$B$3:$C$95,2,0)</f>
        <v>Technology and systems expense</v>
      </c>
      <c r="D68" s="525">
        <f t="shared" si="2"/>
        <v>0</v>
      </c>
      <c r="E68" s="43">
        <f>SUMIFS('Journal Entries'!$L:$L,'Journal Entries'!$K:$K,$C68,'Journal Entries'!$C:$C,"&lt;="&amp;E$8,'Journal Entries'!$C:$C,"&gt;"&amp;D$8)</f>
        <v>0</v>
      </c>
      <c r="F68" s="43">
        <f>SUMIFS('Journal Entries'!$L:$L,'Journal Entries'!$K:$K,$C68,'Journal Entries'!$C:$C,"&lt;="&amp;F$8,'Journal Entries'!$C:$C,"&gt;"&amp;E$8)</f>
        <v>0</v>
      </c>
      <c r="G68" s="43">
        <f>SUMIFS('Journal Entries'!$L:$L,'Journal Entries'!$K:$K,$C68,'Journal Entries'!$C:$C,"&lt;="&amp;G$8,'Journal Entries'!$C:$C,"&gt;"&amp;F$8)</f>
        <v>0</v>
      </c>
      <c r="H68" s="43">
        <f>SUMIFS('Journal Entries'!$L:$L,'Journal Entries'!$K:$K,$C68,'Journal Entries'!$C:$C,"&lt;="&amp;H$8,'Journal Entries'!$C:$C,"&gt;"&amp;G$8)</f>
        <v>0</v>
      </c>
      <c r="I68" s="43">
        <f>SUMIFS('Journal Entries'!$L:$L,'Journal Entries'!$K:$K,$C68,'Journal Entries'!$C:$C,"&lt;="&amp;I$8,'Journal Entries'!$C:$C,"&gt;"&amp;H$8)</f>
        <v>0</v>
      </c>
      <c r="J68" s="43">
        <f>SUMIFS('Journal Entries'!$L:$L,'Journal Entries'!$K:$K,$C68,'Journal Entries'!$C:$C,"&lt;="&amp;J$8,'Journal Entries'!$C:$C,"&gt;"&amp;I$8)</f>
        <v>0</v>
      </c>
      <c r="K68" s="43">
        <f>SUMIFS('Journal Entries'!$L:$L,'Journal Entries'!$K:$K,$C68,'Journal Entries'!$C:$C,"&lt;="&amp;K$8,'Journal Entries'!$C:$C,"&gt;"&amp;J$8)</f>
        <v>0</v>
      </c>
      <c r="L68" s="43">
        <f>SUMIFS('Journal Entries'!$L:$L,'Journal Entries'!$K:$K,$C68,'Journal Entries'!$C:$C,"&lt;="&amp;L$8,'Journal Entries'!$C:$C,"&gt;"&amp;K$8)</f>
        <v>0</v>
      </c>
      <c r="M68" s="43">
        <f>SUMIFS('Journal Entries'!$L:$L,'Journal Entries'!$K:$K,$C68,'Journal Entries'!$C:$C,"&lt;="&amp;M$8,'Journal Entries'!$C:$C,"&gt;"&amp;L$8)</f>
        <v>0</v>
      </c>
      <c r="N68" s="43">
        <f>SUMIFS('Journal Entries'!$L:$L,'Journal Entries'!$K:$K,$C68,'Journal Entries'!$C:$C,"&lt;="&amp;N$8,'Journal Entries'!$C:$C,"&gt;"&amp;M$8)</f>
        <v>0</v>
      </c>
      <c r="O68" s="43">
        <f>SUMIFS('Journal Entries'!$L:$L,'Journal Entries'!$K:$K,$C68,'Journal Entries'!$C:$C,"&lt;="&amp;O$8,'Journal Entries'!$C:$C,"&gt;"&amp;N$8)</f>
        <v>0</v>
      </c>
      <c r="P68" s="43">
        <f>SUMIFS('Journal Entries'!$L:$L,'Journal Entries'!$K:$K,$C68,'Journal Entries'!$C:$C,"&lt;="&amp;P$8,'Journal Entries'!$C:$C,"&gt;"&amp;O$8)</f>
        <v>0</v>
      </c>
      <c r="Q68" s="43">
        <f>SUMIFS('Journal Entries'!$L:$L,'Journal Entries'!$K:$K,$C68,'Journal Entries'!$C:$C,"&lt;="&amp;Q$8,'Journal Entries'!$C:$C,"&gt;"&amp;P$8)</f>
        <v>0</v>
      </c>
      <c r="R68" s="43">
        <f>SUMIFS('Journal Entries'!$L:$L,'Journal Entries'!$K:$K,$C68,'Journal Entries'!$C:$C,"&lt;="&amp;R$8,'Journal Entries'!$C:$C,"&gt;"&amp;Q$8)</f>
        <v>0</v>
      </c>
      <c r="S68" s="43">
        <f>SUMIFS('Journal Entries'!$L:$L,'Journal Entries'!$K:$K,$C68,'Journal Entries'!$C:$C,"&lt;="&amp;S$8,'Journal Entries'!$C:$C,"&gt;"&amp;R$8)</f>
        <v>0</v>
      </c>
      <c r="T68" s="43">
        <f>SUMIFS('Journal Entries'!$L:$L,'Journal Entries'!$K:$K,$C68,'Journal Entries'!$C:$C,"&lt;="&amp;T$8,'Journal Entries'!$C:$C,"&gt;"&amp;S$8)</f>
        <v>0</v>
      </c>
      <c r="U68" s="43">
        <f>SUMIFS('Journal Entries'!$L:$L,'Journal Entries'!$K:$K,$C68,'Journal Entries'!$C:$C,"&lt;="&amp;U$8,'Journal Entries'!$C:$C,"&gt;"&amp;T$8)</f>
        <v>0</v>
      </c>
      <c r="V68" s="43">
        <f>SUMIFS('Journal Entries'!$L:$L,'Journal Entries'!$K:$K,$C68,'Journal Entries'!$C:$C,"&lt;="&amp;V$8,'Journal Entries'!$C:$C,"&gt;"&amp;U$8)</f>
        <v>0</v>
      </c>
      <c r="W68" s="43">
        <f>SUMIFS('Journal Entries'!$L:$L,'Journal Entries'!$K:$K,$C68,'Journal Entries'!$C:$C,"&lt;="&amp;W$8,'Journal Entries'!$C:$C,"&gt;"&amp;V$8)</f>
        <v>0</v>
      </c>
      <c r="X68" s="43">
        <f>SUMIFS('Journal Entries'!$L:$L,'Journal Entries'!$K:$K,$C68,'Journal Entries'!$C:$C,"&lt;="&amp;X$8,'Journal Entries'!$C:$C,"&gt;"&amp;W$8)</f>
        <v>0</v>
      </c>
      <c r="Y68" s="43">
        <f>SUMIFS('Journal Entries'!$L:$L,'Journal Entries'!$K:$K,$C68,'Journal Entries'!$C:$C,"&lt;="&amp;Y$8,'Journal Entries'!$C:$C,"&gt;"&amp;X$8)</f>
        <v>0</v>
      </c>
      <c r="Z68" s="43">
        <f>SUMIFS('Journal Entries'!$L:$L,'Journal Entries'!$K:$K,$C68,'Journal Entries'!$C:$C,"&lt;="&amp;Z$8,'Journal Entries'!$C:$C,"&gt;"&amp;Y$8)</f>
        <v>0</v>
      </c>
      <c r="AA68" s="43">
        <f>SUMIFS('Journal Entries'!$L:$L,'Journal Entries'!$K:$K,$C68,'Journal Entries'!$C:$C,"&lt;="&amp;AA$8,'Journal Entries'!$C:$C,"&gt;"&amp;Z$8)</f>
        <v>0</v>
      </c>
      <c r="AB68" s="43">
        <f>SUMIFS('Journal Entries'!$L:$L,'Journal Entries'!$K:$K,$C68,'Journal Entries'!$C:$C,"&lt;="&amp;AB$8,'Journal Entries'!$C:$C,"&gt;"&amp;AA$8)</f>
        <v>0</v>
      </c>
      <c r="AC68" s="43">
        <f>SUMIFS('Journal Entries'!$L:$L,'Journal Entries'!$K:$K,$C68,'Journal Entries'!$C:$C,"&lt;="&amp;AC$8,'Journal Entries'!$C:$C,"&gt;"&amp;AB$8)</f>
        <v>0</v>
      </c>
      <c r="AD68" s="43">
        <f>SUMIFS('Journal Entries'!$L:$L,'Journal Entries'!$K:$K,$C68,'Journal Entries'!$C:$C,"&lt;="&amp;AD$8,'Journal Entries'!$C:$C,"&gt;"&amp;AC$8)</f>
        <v>0</v>
      </c>
      <c r="AE68" s="43">
        <f>SUMIFS('Journal Entries'!$L:$L,'Journal Entries'!$K:$K,$C68,'Journal Entries'!$C:$C,"&lt;="&amp;AE$8,'Journal Entries'!$C:$C,"&gt;"&amp;AD$8)</f>
        <v>0</v>
      </c>
      <c r="AF68" s="43">
        <f>SUMIFS('Journal Entries'!$L:$L,'Journal Entries'!$K:$K,$C68,'Journal Entries'!$C:$C,"&lt;="&amp;AF$8,'Journal Entries'!$C:$C,"&gt;"&amp;AE$8)</f>
        <v>0</v>
      </c>
      <c r="AG68" s="43">
        <f>SUMIFS('Journal Entries'!$L:$L,'Journal Entries'!$K:$K,$C68,'Journal Entries'!$C:$C,"&lt;="&amp;AG$8,'Journal Entries'!$C:$C,"&gt;"&amp;AF$8)</f>
        <v>0</v>
      </c>
      <c r="AH68" s="43">
        <f>SUMIFS('Journal Entries'!$L:$L,'Journal Entries'!$K:$K,$C68,'Journal Entries'!$C:$C,"&lt;="&amp;AH$8,'Journal Entries'!$C:$C,"&gt;"&amp;AG$8)</f>
        <v>0</v>
      </c>
      <c r="AI68" s="43">
        <f>SUMIFS('Journal Entries'!$L:$L,'Journal Entries'!$K:$K,$C68,'Journal Entries'!$C:$C,"&lt;="&amp;AI$8,'Journal Entries'!$C:$C,"&gt;"&amp;AH$8)</f>
        <v>0</v>
      </c>
      <c r="AJ68" s="43">
        <f>SUMIFS('Journal Entries'!$L:$L,'Journal Entries'!$K:$K,$C68,'Journal Entries'!$C:$C,"&lt;="&amp;AJ$8,'Journal Entries'!$C:$C,"&gt;"&amp;AI$8)</f>
        <v>0</v>
      </c>
      <c r="AK68" s="43">
        <f>SUMIFS('Journal Entries'!$L:$L,'Journal Entries'!$K:$K,$C68,'Journal Entries'!$C:$C,"&lt;="&amp;AK$8,'Journal Entries'!$C:$C,"&gt;"&amp;AJ$8)</f>
        <v>0</v>
      </c>
      <c r="AL68" s="43">
        <f>SUMIFS('Journal Entries'!$L:$L,'Journal Entries'!$K:$K,$C68,'Journal Entries'!$C:$C,"&lt;="&amp;AL$8,'Journal Entries'!$C:$C,"&gt;"&amp;AK$8)</f>
        <v>0</v>
      </c>
      <c r="AM68" s="43">
        <f>SUMIFS('Journal Entries'!$L:$L,'Journal Entries'!$K:$K,$C68,'Journal Entries'!$C:$C,"&lt;="&amp;AM$8,'Journal Entries'!$C:$C,"&gt;"&amp;AL$8)</f>
        <v>0</v>
      </c>
      <c r="AN68" s="43">
        <f>SUMIFS('Journal Entries'!$L:$L,'Journal Entries'!$K:$K,$C68,'Journal Entries'!$C:$C,"&lt;="&amp;AN$8,'Journal Entries'!$C:$C,"&gt;"&amp;AM$8)</f>
        <v>0</v>
      </c>
      <c r="AO68" s="43">
        <f>SUMIFS('Journal Entries'!$L:$L,'Journal Entries'!$K:$K,$C68,'Journal Entries'!$C:$C,"&lt;="&amp;AO$8,'Journal Entries'!$C:$C,"&gt;"&amp;AN$8)</f>
        <v>0</v>
      </c>
      <c r="AP68" s="43">
        <f>SUMIFS('Journal Entries'!$L:$L,'Journal Entries'!$K:$K,$C68,'Journal Entries'!$C:$C,"&lt;="&amp;AP$8,'Journal Entries'!$C:$C,"&gt;"&amp;AO$8)</f>
        <v>0</v>
      </c>
      <c r="AQ68" s="43">
        <f>SUMIFS('Journal Entries'!$L:$L,'Journal Entries'!$K:$K,$C68,'Journal Entries'!$C:$C,"&lt;="&amp;AQ$8,'Journal Entries'!$C:$C,"&gt;"&amp;AP$8)</f>
        <v>0</v>
      </c>
      <c r="AR68" s="43">
        <f>SUMIFS('Journal Entries'!$L:$L,'Journal Entries'!$K:$K,$C68,'Journal Entries'!$C:$C,"&lt;="&amp;AR$8,'Journal Entries'!$C:$C,"&gt;"&amp;AQ$8)</f>
        <v>0</v>
      </c>
      <c r="AS68" s="43">
        <f>SUMIFS('Journal Entries'!$L:$L,'Journal Entries'!$K:$K,$C68,'Journal Entries'!$C:$C,"&lt;="&amp;AS$8,'Journal Entries'!$C:$C,"&gt;"&amp;AR$8)</f>
        <v>0</v>
      </c>
      <c r="AT68" s="43">
        <f>SUMIFS('Journal Entries'!$L:$L,'Journal Entries'!$K:$K,$C68,'Journal Entries'!$C:$C,"&lt;="&amp;AT$8,'Journal Entries'!$C:$C,"&gt;"&amp;AS$8)</f>
        <v>0</v>
      </c>
      <c r="AU68" s="43">
        <f>SUMIFS('Journal Entries'!$L:$L,'Journal Entries'!$K:$K,$C68,'Journal Entries'!$C:$C,"&lt;="&amp;AU$8,'Journal Entries'!$C:$C,"&gt;"&amp;AT$8)</f>
        <v>0</v>
      </c>
      <c r="AV68" s="43">
        <f>SUMIFS('Journal Entries'!$L:$L,'Journal Entries'!$K:$K,$C68,'Journal Entries'!$C:$C,"&lt;="&amp;AV$8,'Journal Entries'!$C:$C,"&gt;"&amp;AU$8)</f>
        <v>0</v>
      </c>
      <c r="AW68" s="43">
        <f>SUMIFS('Journal Entries'!$L:$L,'Journal Entries'!$K:$K,$C68,'Journal Entries'!$C:$C,"&lt;="&amp;AW$8,'Journal Entries'!$C:$C,"&gt;"&amp;AV$8)</f>
        <v>0</v>
      </c>
      <c r="AX68" s="43">
        <f>SUMIFS('Journal Entries'!$L:$L,'Journal Entries'!$K:$K,$C68,'Journal Entries'!$C:$C,"&lt;="&amp;AX$8,'Journal Entries'!$C:$C,"&gt;"&amp;AW$8)</f>
        <v>0</v>
      </c>
      <c r="AY68" s="43">
        <f>SUMIFS('Journal Entries'!$L:$L,'Journal Entries'!$K:$K,$C68,'Journal Entries'!$C:$C,"&lt;="&amp;AY$8,'Journal Entries'!$C:$C,"&gt;"&amp;AX$8)</f>
        <v>0</v>
      </c>
      <c r="AZ68" s="43">
        <f>SUMIFS('Journal Entries'!$L:$L,'Journal Entries'!$K:$K,$C68,'Journal Entries'!$C:$C,"&lt;="&amp;AZ$8,'Journal Entries'!$C:$C,"&gt;"&amp;AY$8)</f>
        <v>0</v>
      </c>
      <c r="BA68" s="43">
        <f>SUMIFS('Journal Entries'!$L:$L,'Journal Entries'!$K:$K,$C68,'Journal Entries'!$C:$C,"&lt;="&amp;BA$8,'Journal Entries'!$C:$C,"&gt;"&amp;AZ$8)</f>
        <v>0</v>
      </c>
      <c r="BB68" s="43">
        <f>SUMIFS('Journal Entries'!$L:$L,'Journal Entries'!$K:$K,$C68,'Journal Entries'!$C:$C,"&lt;="&amp;BB$8,'Journal Entries'!$C:$C,"&gt;"&amp;BA$8)</f>
        <v>0</v>
      </c>
      <c r="BC68" s="43">
        <f>SUMIFS('Journal Entries'!$L:$L,'Journal Entries'!$K:$K,$C68,'Journal Entries'!$C:$C,"&lt;="&amp;BC$8,'Journal Entries'!$C:$C,"&gt;"&amp;BB$8)</f>
        <v>0</v>
      </c>
      <c r="BD68" s="43">
        <f>SUMIFS('Journal Entries'!$L:$L,'Journal Entries'!$K:$K,$C68,'Journal Entries'!$C:$C,"&lt;="&amp;BD$8,'Journal Entries'!$C:$C,"&gt;"&amp;BC$8)</f>
        <v>0</v>
      </c>
      <c r="BE68" s="43">
        <f>SUMIFS('Journal Entries'!$L:$L,'Journal Entries'!$K:$K,$C68,'Journal Entries'!$C:$C,"&lt;="&amp;BE$8,'Journal Entries'!$C:$C,"&gt;"&amp;BD$8)</f>
        <v>0</v>
      </c>
      <c r="BF68" s="43">
        <f>SUMIFS('Journal Entries'!$L:$L,'Journal Entries'!$K:$K,$C68,'Journal Entries'!$C:$C,"&lt;="&amp;BF$8,'Journal Entries'!$C:$C,"&gt;"&amp;BE$8)</f>
        <v>0</v>
      </c>
      <c r="BG68" s="43">
        <f>SUMIFS('Journal Entries'!$L:$L,'Journal Entries'!$K:$K,$C68,'Journal Entries'!$C:$C,"&lt;="&amp;BG$8,'Journal Entries'!$C:$C,"&gt;"&amp;BF$8)</f>
        <v>0</v>
      </c>
      <c r="BH68" s="43">
        <f>SUMIFS('Journal Entries'!$L:$L,'Journal Entries'!$K:$K,$C68,'Journal Entries'!$C:$C,"&lt;="&amp;BH$8,'Journal Entries'!$C:$C,"&gt;"&amp;BG$8)</f>
        <v>0</v>
      </c>
      <c r="BI68" s="43">
        <f>SUMIFS('Journal Entries'!$L:$L,'Journal Entries'!$K:$K,$C68,'Journal Entries'!$C:$C,"&lt;="&amp;BI$8,'Journal Entries'!$C:$C,"&gt;"&amp;BH$8)</f>
        <v>0</v>
      </c>
      <c r="BJ68" s="43">
        <f>SUMIFS('Journal Entries'!$L:$L,'Journal Entries'!$K:$K,$C68,'Journal Entries'!$C:$C,"&lt;="&amp;BJ$8,'Journal Entries'!$C:$C,"&gt;"&amp;BI$8)</f>
        <v>0</v>
      </c>
      <c r="BK68" s="43">
        <f>SUMIFS('Journal Entries'!$L:$L,'Journal Entries'!$K:$K,$C68,'Journal Entries'!$C:$C,"&lt;="&amp;BK$8,'Journal Entries'!$C:$C,"&gt;"&amp;BJ$8)</f>
        <v>0</v>
      </c>
      <c r="BL68" s="43">
        <f>SUMIFS('Journal Entries'!$L:$L,'Journal Entries'!$K:$K,$C68,'Journal Entries'!$C:$C,"&lt;="&amp;BL$8,'Journal Entries'!$C:$C,"&gt;"&amp;BK$8)</f>
        <v>0</v>
      </c>
    </row>
    <row r="69" spans="2:64" x14ac:dyDescent="0.25">
      <c r="B69" s="10">
        <v>5170</v>
      </c>
      <c r="C69" s="10" t="str">
        <f>VLOOKUP(B69,'Chart of Accounts'!$B$3:$C$95,2,0)</f>
        <v>Office rent expense</v>
      </c>
      <c r="D69" s="525">
        <f t="shared" si="2"/>
        <v>0</v>
      </c>
      <c r="E69" s="43">
        <f>SUMIFS('Journal Entries'!$L:$L,'Journal Entries'!$K:$K,$C69,'Journal Entries'!$C:$C,"&lt;="&amp;E$8,'Journal Entries'!$C:$C,"&gt;"&amp;D$8)</f>
        <v>0</v>
      </c>
      <c r="F69" s="43">
        <f>SUMIFS('Journal Entries'!$L:$L,'Journal Entries'!$K:$K,$C69,'Journal Entries'!$C:$C,"&lt;="&amp;F$8,'Journal Entries'!$C:$C,"&gt;"&amp;E$8)</f>
        <v>0</v>
      </c>
      <c r="G69" s="43">
        <f>SUMIFS('Journal Entries'!$L:$L,'Journal Entries'!$K:$K,$C69,'Journal Entries'!$C:$C,"&lt;="&amp;G$8,'Journal Entries'!$C:$C,"&gt;"&amp;F$8)</f>
        <v>0</v>
      </c>
      <c r="H69" s="43">
        <f>SUMIFS('Journal Entries'!$L:$L,'Journal Entries'!$K:$K,$C69,'Journal Entries'!$C:$C,"&lt;="&amp;H$8,'Journal Entries'!$C:$C,"&gt;"&amp;G$8)</f>
        <v>0</v>
      </c>
      <c r="I69" s="43">
        <f>SUMIFS('Journal Entries'!$L:$L,'Journal Entries'!$K:$K,$C69,'Journal Entries'!$C:$C,"&lt;="&amp;I$8,'Journal Entries'!$C:$C,"&gt;"&amp;H$8)</f>
        <v>0</v>
      </c>
      <c r="J69" s="43">
        <f>SUMIFS('Journal Entries'!$L:$L,'Journal Entries'!$K:$K,$C69,'Journal Entries'!$C:$C,"&lt;="&amp;J$8,'Journal Entries'!$C:$C,"&gt;"&amp;I$8)</f>
        <v>0</v>
      </c>
      <c r="K69" s="43">
        <f>SUMIFS('Journal Entries'!$L:$L,'Journal Entries'!$K:$K,$C69,'Journal Entries'!$C:$C,"&lt;="&amp;K$8,'Journal Entries'!$C:$C,"&gt;"&amp;J$8)</f>
        <v>0</v>
      </c>
      <c r="L69" s="43">
        <f>SUMIFS('Journal Entries'!$L:$L,'Journal Entries'!$K:$K,$C69,'Journal Entries'!$C:$C,"&lt;="&amp;L$8,'Journal Entries'!$C:$C,"&gt;"&amp;K$8)</f>
        <v>0</v>
      </c>
      <c r="M69" s="43">
        <f>SUMIFS('Journal Entries'!$L:$L,'Journal Entries'!$K:$K,$C69,'Journal Entries'!$C:$C,"&lt;="&amp;M$8,'Journal Entries'!$C:$C,"&gt;"&amp;L$8)</f>
        <v>0</v>
      </c>
      <c r="N69" s="43">
        <f>SUMIFS('Journal Entries'!$L:$L,'Journal Entries'!$K:$K,$C69,'Journal Entries'!$C:$C,"&lt;="&amp;N$8,'Journal Entries'!$C:$C,"&gt;"&amp;M$8)</f>
        <v>0</v>
      </c>
      <c r="O69" s="43">
        <f>SUMIFS('Journal Entries'!$L:$L,'Journal Entries'!$K:$K,$C69,'Journal Entries'!$C:$C,"&lt;="&amp;O$8,'Journal Entries'!$C:$C,"&gt;"&amp;N$8)</f>
        <v>0</v>
      </c>
      <c r="P69" s="43">
        <f>SUMIFS('Journal Entries'!$L:$L,'Journal Entries'!$K:$K,$C69,'Journal Entries'!$C:$C,"&lt;="&amp;P$8,'Journal Entries'!$C:$C,"&gt;"&amp;O$8)</f>
        <v>0</v>
      </c>
      <c r="Q69" s="43">
        <f>SUMIFS('Journal Entries'!$L:$L,'Journal Entries'!$K:$K,$C69,'Journal Entries'!$C:$C,"&lt;="&amp;Q$8,'Journal Entries'!$C:$C,"&gt;"&amp;P$8)</f>
        <v>0</v>
      </c>
      <c r="R69" s="43">
        <f>SUMIFS('Journal Entries'!$L:$L,'Journal Entries'!$K:$K,$C69,'Journal Entries'!$C:$C,"&lt;="&amp;R$8,'Journal Entries'!$C:$C,"&gt;"&amp;Q$8)</f>
        <v>0</v>
      </c>
      <c r="S69" s="43">
        <f>SUMIFS('Journal Entries'!$L:$L,'Journal Entries'!$K:$K,$C69,'Journal Entries'!$C:$C,"&lt;="&amp;S$8,'Journal Entries'!$C:$C,"&gt;"&amp;R$8)</f>
        <v>0</v>
      </c>
      <c r="T69" s="43">
        <f>SUMIFS('Journal Entries'!$L:$L,'Journal Entries'!$K:$K,$C69,'Journal Entries'!$C:$C,"&lt;="&amp;T$8,'Journal Entries'!$C:$C,"&gt;"&amp;S$8)</f>
        <v>0</v>
      </c>
      <c r="U69" s="43">
        <f>SUMIFS('Journal Entries'!$L:$L,'Journal Entries'!$K:$K,$C69,'Journal Entries'!$C:$C,"&lt;="&amp;U$8,'Journal Entries'!$C:$C,"&gt;"&amp;T$8)</f>
        <v>0</v>
      </c>
      <c r="V69" s="43">
        <f>SUMIFS('Journal Entries'!$L:$L,'Journal Entries'!$K:$K,$C69,'Journal Entries'!$C:$C,"&lt;="&amp;V$8,'Journal Entries'!$C:$C,"&gt;"&amp;U$8)</f>
        <v>0</v>
      </c>
      <c r="W69" s="43">
        <f>SUMIFS('Journal Entries'!$L:$L,'Journal Entries'!$K:$K,$C69,'Journal Entries'!$C:$C,"&lt;="&amp;W$8,'Journal Entries'!$C:$C,"&gt;"&amp;V$8)</f>
        <v>0</v>
      </c>
      <c r="X69" s="43">
        <f>SUMIFS('Journal Entries'!$L:$L,'Journal Entries'!$K:$K,$C69,'Journal Entries'!$C:$C,"&lt;="&amp;X$8,'Journal Entries'!$C:$C,"&gt;"&amp;W$8)</f>
        <v>0</v>
      </c>
      <c r="Y69" s="43">
        <f>SUMIFS('Journal Entries'!$L:$L,'Journal Entries'!$K:$K,$C69,'Journal Entries'!$C:$C,"&lt;="&amp;Y$8,'Journal Entries'!$C:$C,"&gt;"&amp;X$8)</f>
        <v>0</v>
      </c>
      <c r="Z69" s="43">
        <f>SUMIFS('Journal Entries'!$L:$L,'Journal Entries'!$K:$K,$C69,'Journal Entries'!$C:$C,"&lt;="&amp;Z$8,'Journal Entries'!$C:$C,"&gt;"&amp;Y$8)</f>
        <v>0</v>
      </c>
      <c r="AA69" s="43">
        <f>SUMIFS('Journal Entries'!$L:$L,'Journal Entries'!$K:$K,$C69,'Journal Entries'!$C:$C,"&lt;="&amp;AA$8,'Journal Entries'!$C:$C,"&gt;"&amp;Z$8)</f>
        <v>0</v>
      </c>
      <c r="AB69" s="43">
        <f>SUMIFS('Journal Entries'!$L:$L,'Journal Entries'!$K:$K,$C69,'Journal Entries'!$C:$C,"&lt;="&amp;AB$8,'Journal Entries'!$C:$C,"&gt;"&amp;AA$8)</f>
        <v>0</v>
      </c>
      <c r="AC69" s="43">
        <f>SUMIFS('Journal Entries'!$L:$L,'Journal Entries'!$K:$K,$C69,'Journal Entries'!$C:$C,"&lt;="&amp;AC$8,'Journal Entries'!$C:$C,"&gt;"&amp;AB$8)</f>
        <v>0</v>
      </c>
      <c r="AD69" s="43">
        <f>SUMIFS('Journal Entries'!$L:$L,'Journal Entries'!$K:$K,$C69,'Journal Entries'!$C:$C,"&lt;="&amp;AD$8,'Journal Entries'!$C:$C,"&gt;"&amp;AC$8)</f>
        <v>0</v>
      </c>
      <c r="AE69" s="43">
        <f>SUMIFS('Journal Entries'!$L:$L,'Journal Entries'!$K:$K,$C69,'Journal Entries'!$C:$C,"&lt;="&amp;AE$8,'Journal Entries'!$C:$C,"&gt;"&amp;AD$8)</f>
        <v>0</v>
      </c>
      <c r="AF69" s="43">
        <f>SUMIFS('Journal Entries'!$L:$L,'Journal Entries'!$K:$K,$C69,'Journal Entries'!$C:$C,"&lt;="&amp;AF$8,'Journal Entries'!$C:$C,"&gt;"&amp;AE$8)</f>
        <v>0</v>
      </c>
      <c r="AG69" s="43">
        <f>SUMIFS('Journal Entries'!$L:$L,'Journal Entries'!$K:$K,$C69,'Journal Entries'!$C:$C,"&lt;="&amp;AG$8,'Journal Entries'!$C:$C,"&gt;"&amp;AF$8)</f>
        <v>0</v>
      </c>
      <c r="AH69" s="43">
        <f>SUMIFS('Journal Entries'!$L:$L,'Journal Entries'!$K:$K,$C69,'Journal Entries'!$C:$C,"&lt;="&amp;AH$8,'Journal Entries'!$C:$C,"&gt;"&amp;AG$8)</f>
        <v>0</v>
      </c>
      <c r="AI69" s="43">
        <f>SUMIFS('Journal Entries'!$L:$L,'Journal Entries'!$K:$K,$C69,'Journal Entries'!$C:$C,"&lt;="&amp;AI$8,'Journal Entries'!$C:$C,"&gt;"&amp;AH$8)</f>
        <v>0</v>
      </c>
      <c r="AJ69" s="43">
        <f>SUMIFS('Journal Entries'!$L:$L,'Journal Entries'!$K:$K,$C69,'Journal Entries'!$C:$C,"&lt;="&amp;AJ$8,'Journal Entries'!$C:$C,"&gt;"&amp;AI$8)</f>
        <v>0</v>
      </c>
      <c r="AK69" s="43">
        <f>SUMIFS('Journal Entries'!$L:$L,'Journal Entries'!$K:$K,$C69,'Journal Entries'!$C:$C,"&lt;="&amp;AK$8,'Journal Entries'!$C:$C,"&gt;"&amp;AJ$8)</f>
        <v>0</v>
      </c>
      <c r="AL69" s="43">
        <f>SUMIFS('Journal Entries'!$L:$L,'Journal Entries'!$K:$K,$C69,'Journal Entries'!$C:$C,"&lt;="&amp;AL$8,'Journal Entries'!$C:$C,"&gt;"&amp;AK$8)</f>
        <v>0</v>
      </c>
      <c r="AM69" s="43">
        <f>SUMIFS('Journal Entries'!$L:$L,'Journal Entries'!$K:$K,$C69,'Journal Entries'!$C:$C,"&lt;="&amp;AM$8,'Journal Entries'!$C:$C,"&gt;"&amp;AL$8)</f>
        <v>0</v>
      </c>
      <c r="AN69" s="43">
        <f>SUMIFS('Journal Entries'!$L:$L,'Journal Entries'!$K:$K,$C69,'Journal Entries'!$C:$C,"&lt;="&amp;AN$8,'Journal Entries'!$C:$C,"&gt;"&amp;AM$8)</f>
        <v>0</v>
      </c>
      <c r="AO69" s="43">
        <f>SUMIFS('Journal Entries'!$L:$L,'Journal Entries'!$K:$K,$C69,'Journal Entries'!$C:$C,"&lt;="&amp;AO$8,'Journal Entries'!$C:$C,"&gt;"&amp;AN$8)</f>
        <v>0</v>
      </c>
      <c r="AP69" s="43">
        <f>SUMIFS('Journal Entries'!$L:$L,'Journal Entries'!$K:$K,$C69,'Journal Entries'!$C:$C,"&lt;="&amp;AP$8,'Journal Entries'!$C:$C,"&gt;"&amp;AO$8)</f>
        <v>0</v>
      </c>
      <c r="AQ69" s="43">
        <f>SUMIFS('Journal Entries'!$L:$L,'Journal Entries'!$K:$K,$C69,'Journal Entries'!$C:$C,"&lt;="&amp;AQ$8,'Journal Entries'!$C:$C,"&gt;"&amp;AP$8)</f>
        <v>0</v>
      </c>
      <c r="AR69" s="43">
        <f>SUMIFS('Journal Entries'!$L:$L,'Journal Entries'!$K:$K,$C69,'Journal Entries'!$C:$C,"&lt;="&amp;AR$8,'Journal Entries'!$C:$C,"&gt;"&amp;AQ$8)</f>
        <v>0</v>
      </c>
      <c r="AS69" s="43">
        <f>SUMIFS('Journal Entries'!$L:$L,'Journal Entries'!$K:$K,$C69,'Journal Entries'!$C:$C,"&lt;="&amp;AS$8,'Journal Entries'!$C:$C,"&gt;"&amp;AR$8)</f>
        <v>0</v>
      </c>
      <c r="AT69" s="43">
        <f>SUMIFS('Journal Entries'!$L:$L,'Journal Entries'!$K:$K,$C69,'Journal Entries'!$C:$C,"&lt;="&amp;AT$8,'Journal Entries'!$C:$C,"&gt;"&amp;AS$8)</f>
        <v>0</v>
      </c>
      <c r="AU69" s="43">
        <f>SUMIFS('Journal Entries'!$L:$L,'Journal Entries'!$K:$K,$C69,'Journal Entries'!$C:$C,"&lt;="&amp;AU$8,'Journal Entries'!$C:$C,"&gt;"&amp;AT$8)</f>
        <v>0</v>
      </c>
      <c r="AV69" s="43">
        <f>SUMIFS('Journal Entries'!$L:$L,'Journal Entries'!$K:$K,$C69,'Journal Entries'!$C:$C,"&lt;="&amp;AV$8,'Journal Entries'!$C:$C,"&gt;"&amp;AU$8)</f>
        <v>0</v>
      </c>
      <c r="AW69" s="43">
        <f>SUMIFS('Journal Entries'!$L:$L,'Journal Entries'!$K:$K,$C69,'Journal Entries'!$C:$C,"&lt;="&amp;AW$8,'Journal Entries'!$C:$C,"&gt;"&amp;AV$8)</f>
        <v>0</v>
      </c>
      <c r="AX69" s="43">
        <f>SUMIFS('Journal Entries'!$L:$L,'Journal Entries'!$K:$K,$C69,'Journal Entries'!$C:$C,"&lt;="&amp;AX$8,'Journal Entries'!$C:$C,"&gt;"&amp;AW$8)</f>
        <v>0</v>
      </c>
      <c r="AY69" s="43">
        <f>SUMIFS('Journal Entries'!$L:$L,'Journal Entries'!$K:$K,$C69,'Journal Entries'!$C:$C,"&lt;="&amp;AY$8,'Journal Entries'!$C:$C,"&gt;"&amp;AX$8)</f>
        <v>0</v>
      </c>
      <c r="AZ69" s="43">
        <f>SUMIFS('Journal Entries'!$L:$L,'Journal Entries'!$K:$K,$C69,'Journal Entries'!$C:$C,"&lt;="&amp;AZ$8,'Journal Entries'!$C:$C,"&gt;"&amp;AY$8)</f>
        <v>0</v>
      </c>
      <c r="BA69" s="43">
        <f>SUMIFS('Journal Entries'!$L:$L,'Journal Entries'!$K:$K,$C69,'Journal Entries'!$C:$C,"&lt;="&amp;BA$8,'Journal Entries'!$C:$C,"&gt;"&amp;AZ$8)</f>
        <v>0</v>
      </c>
      <c r="BB69" s="43">
        <f>SUMIFS('Journal Entries'!$L:$L,'Journal Entries'!$K:$K,$C69,'Journal Entries'!$C:$C,"&lt;="&amp;BB$8,'Journal Entries'!$C:$C,"&gt;"&amp;BA$8)</f>
        <v>0</v>
      </c>
      <c r="BC69" s="43">
        <f>SUMIFS('Journal Entries'!$L:$L,'Journal Entries'!$K:$K,$C69,'Journal Entries'!$C:$C,"&lt;="&amp;BC$8,'Journal Entries'!$C:$C,"&gt;"&amp;BB$8)</f>
        <v>0</v>
      </c>
      <c r="BD69" s="43">
        <f>SUMIFS('Journal Entries'!$L:$L,'Journal Entries'!$K:$K,$C69,'Journal Entries'!$C:$C,"&lt;="&amp;BD$8,'Journal Entries'!$C:$C,"&gt;"&amp;BC$8)</f>
        <v>0</v>
      </c>
      <c r="BE69" s="43">
        <f>SUMIFS('Journal Entries'!$L:$L,'Journal Entries'!$K:$K,$C69,'Journal Entries'!$C:$C,"&lt;="&amp;BE$8,'Journal Entries'!$C:$C,"&gt;"&amp;BD$8)</f>
        <v>0</v>
      </c>
      <c r="BF69" s="43">
        <f>SUMIFS('Journal Entries'!$L:$L,'Journal Entries'!$K:$K,$C69,'Journal Entries'!$C:$C,"&lt;="&amp;BF$8,'Journal Entries'!$C:$C,"&gt;"&amp;BE$8)</f>
        <v>0</v>
      </c>
      <c r="BG69" s="43">
        <f>SUMIFS('Journal Entries'!$L:$L,'Journal Entries'!$K:$K,$C69,'Journal Entries'!$C:$C,"&lt;="&amp;BG$8,'Journal Entries'!$C:$C,"&gt;"&amp;BF$8)</f>
        <v>0</v>
      </c>
      <c r="BH69" s="43">
        <f>SUMIFS('Journal Entries'!$L:$L,'Journal Entries'!$K:$K,$C69,'Journal Entries'!$C:$C,"&lt;="&amp;BH$8,'Journal Entries'!$C:$C,"&gt;"&amp;BG$8)</f>
        <v>0</v>
      </c>
      <c r="BI69" s="43">
        <f>SUMIFS('Journal Entries'!$L:$L,'Journal Entries'!$K:$K,$C69,'Journal Entries'!$C:$C,"&lt;="&amp;BI$8,'Journal Entries'!$C:$C,"&gt;"&amp;BH$8)</f>
        <v>0</v>
      </c>
      <c r="BJ69" s="43">
        <f>SUMIFS('Journal Entries'!$L:$L,'Journal Entries'!$K:$K,$C69,'Journal Entries'!$C:$C,"&lt;="&amp;BJ$8,'Journal Entries'!$C:$C,"&gt;"&amp;BI$8)</f>
        <v>0</v>
      </c>
      <c r="BK69" s="43">
        <f>SUMIFS('Journal Entries'!$L:$L,'Journal Entries'!$K:$K,$C69,'Journal Entries'!$C:$C,"&lt;="&amp;BK$8,'Journal Entries'!$C:$C,"&gt;"&amp;BJ$8)</f>
        <v>0</v>
      </c>
      <c r="BL69" s="43">
        <f>SUMIFS('Journal Entries'!$L:$L,'Journal Entries'!$K:$K,$C69,'Journal Entries'!$C:$C,"&lt;="&amp;BL$8,'Journal Entries'!$C:$C,"&gt;"&amp;BK$8)</f>
        <v>0</v>
      </c>
    </row>
    <row r="70" spans="2:64" x14ac:dyDescent="0.25">
      <c r="B70" s="10">
        <v>5180</v>
      </c>
      <c r="C70" s="10" t="str">
        <f>VLOOKUP(B70,'Chart of Accounts'!$B$3:$C$95,2,0)</f>
        <v>Utilities and maintenance expense</v>
      </c>
      <c r="D70" s="525">
        <f t="shared" si="2"/>
        <v>0</v>
      </c>
      <c r="E70" s="43">
        <f>SUMIFS('Journal Entries'!$L:$L,'Journal Entries'!$K:$K,$C70,'Journal Entries'!$C:$C,"&lt;="&amp;E$8,'Journal Entries'!$C:$C,"&gt;"&amp;D$8)</f>
        <v>0</v>
      </c>
      <c r="F70" s="43">
        <f>SUMIFS('Journal Entries'!$L:$L,'Journal Entries'!$K:$K,$C70,'Journal Entries'!$C:$C,"&lt;="&amp;F$8,'Journal Entries'!$C:$C,"&gt;"&amp;E$8)</f>
        <v>0</v>
      </c>
      <c r="G70" s="43">
        <f>SUMIFS('Journal Entries'!$L:$L,'Journal Entries'!$K:$K,$C70,'Journal Entries'!$C:$C,"&lt;="&amp;G$8,'Journal Entries'!$C:$C,"&gt;"&amp;F$8)</f>
        <v>0</v>
      </c>
      <c r="H70" s="43">
        <f>SUMIFS('Journal Entries'!$L:$L,'Journal Entries'!$K:$K,$C70,'Journal Entries'!$C:$C,"&lt;="&amp;H$8,'Journal Entries'!$C:$C,"&gt;"&amp;G$8)</f>
        <v>0</v>
      </c>
      <c r="I70" s="43">
        <f>SUMIFS('Journal Entries'!$L:$L,'Journal Entries'!$K:$K,$C70,'Journal Entries'!$C:$C,"&lt;="&amp;I$8,'Journal Entries'!$C:$C,"&gt;"&amp;H$8)</f>
        <v>0</v>
      </c>
      <c r="J70" s="43">
        <f>SUMIFS('Journal Entries'!$L:$L,'Journal Entries'!$K:$K,$C70,'Journal Entries'!$C:$C,"&lt;="&amp;J$8,'Journal Entries'!$C:$C,"&gt;"&amp;I$8)</f>
        <v>0</v>
      </c>
      <c r="K70" s="43">
        <f>SUMIFS('Journal Entries'!$L:$L,'Journal Entries'!$K:$K,$C70,'Journal Entries'!$C:$C,"&lt;="&amp;K$8,'Journal Entries'!$C:$C,"&gt;"&amp;J$8)</f>
        <v>0</v>
      </c>
      <c r="L70" s="43">
        <f>SUMIFS('Journal Entries'!$L:$L,'Journal Entries'!$K:$K,$C70,'Journal Entries'!$C:$C,"&lt;="&amp;L$8,'Journal Entries'!$C:$C,"&gt;"&amp;K$8)</f>
        <v>0</v>
      </c>
      <c r="M70" s="43">
        <f>SUMIFS('Journal Entries'!$L:$L,'Journal Entries'!$K:$K,$C70,'Journal Entries'!$C:$C,"&lt;="&amp;M$8,'Journal Entries'!$C:$C,"&gt;"&amp;L$8)</f>
        <v>0</v>
      </c>
      <c r="N70" s="43">
        <f>SUMIFS('Journal Entries'!$L:$L,'Journal Entries'!$K:$K,$C70,'Journal Entries'!$C:$C,"&lt;="&amp;N$8,'Journal Entries'!$C:$C,"&gt;"&amp;M$8)</f>
        <v>0</v>
      </c>
      <c r="O70" s="43">
        <f>SUMIFS('Journal Entries'!$L:$L,'Journal Entries'!$K:$K,$C70,'Journal Entries'!$C:$C,"&lt;="&amp;O$8,'Journal Entries'!$C:$C,"&gt;"&amp;N$8)</f>
        <v>0</v>
      </c>
      <c r="P70" s="43">
        <f>SUMIFS('Journal Entries'!$L:$L,'Journal Entries'!$K:$K,$C70,'Journal Entries'!$C:$C,"&lt;="&amp;P$8,'Journal Entries'!$C:$C,"&gt;"&amp;O$8)</f>
        <v>0</v>
      </c>
      <c r="Q70" s="43">
        <f>SUMIFS('Journal Entries'!$L:$L,'Journal Entries'!$K:$K,$C70,'Journal Entries'!$C:$C,"&lt;="&amp;Q$8,'Journal Entries'!$C:$C,"&gt;"&amp;P$8)</f>
        <v>0</v>
      </c>
      <c r="R70" s="43">
        <f>SUMIFS('Journal Entries'!$L:$L,'Journal Entries'!$K:$K,$C70,'Journal Entries'!$C:$C,"&lt;="&amp;R$8,'Journal Entries'!$C:$C,"&gt;"&amp;Q$8)</f>
        <v>0</v>
      </c>
      <c r="S70" s="43">
        <f>SUMIFS('Journal Entries'!$L:$L,'Journal Entries'!$K:$K,$C70,'Journal Entries'!$C:$C,"&lt;="&amp;S$8,'Journal Entries'!$C:$C,"&gt;"&amp;R$8)</f>
        <v>0</v>
      </c>
      <c r="T70" s="43">
        <f>SUMIFS('Journal Entries'!$L:$L,'Journal Entries'!$K:$K,$C70,'Journal Entries'!$C:$C,"&lt;="&amp;T$8,'Journal Entries'!$C:$C,"&gt;"&amp;S$8)</f>
        <v>0</v>
      </c>
      <c r="U70" s="43">
        <f>SUMIFS('Journal Entries'!$L:$L,'Journal Entries'!$K:$K,$C70,'Journal Entries'!$C:$C,"&lt;="&amp;U$8,'Journal Entries'!$C:$C,"&gt;"&amp;T$8)</f>
        <v>0</v>
      </c>
      <c r="V70" s="43">
        <f>SUMIFS('Journal Entries'!$L:$L,'Journal Entries'!$K:$K,$C70,'Journal Entries'!$C:$C,"&lt;="&amp;V$8,'Journal Entries'!$C:$C,"&gt;"&amp;U$8)</f>
        <v>0</v>
      </c>
      <c r="W70" s="43">
        <f>SUMIFS('Journal Entries'!$L:$L,'Journal Entries'!$K:$K,$C70,'Journal Entries'!$C:$C,"&lt;="&amp;W$8,'Journal Entries'!$C:$C,"&gt;"&amp;V$8)</f>
        <v>0</v>
      </c>
      <c r="X70" s="43">
        <f>SUMIFS('Journal Entries'!$L:$L,'Journal Entries'!$K:$K,$C70,'Journal Entries'!$C:$C,"&lt;="&amp;X$8,'Journal Entries'!$C:$C,"&gt;"&amp;W$8)</f>
        <v>0</v>
      </c>
      <c r="Y70" s="43">
        <f>SUMIFS('Journal Entries'!$L:$L,'Journal Entries'!$K:$K,$C70,'Journal Entries'!$C:$C,"&lt;="&amp;Y$8,'Journal Entries'!$C:$C,"&gt;"&amp;X$8)</f>
        <v>0</v>
      </c>
      <c r="Z70" s="43">
        <f>SUMIFS('Journal Entries'!$L:$L,'Journal Entries'!$K:$K,$C70,'Journal Entries'!$C:$C,"&lt;="&amp;Z$8,'Journal Entries'!$C:$C,"&gt;"&amp;Y$8)</f>
        <v>0</v>
      </c>
      <c r="AA70" s="43">
        <f>SUMIFS('Journal Entries'!$L:$L,'Journal Entries'!$K:$K,$C70,'Journal Entries'!$C:$C,"&lt;="&amp;AA$8,'Journal Entries'!$C:$C,"&gt;"&amp;Z$8)</f>
        <v>0</v>
      </c>
      <c r="AB70" s="43">
        <f>SUMIFS('Journal Entries'!$L:$L,'Journal Entries'!$K:$K,$C70,'Journal Entries'!$C:$C,"&lt;="&amp;AB$8,'Journal Entries'!$C:$C,"&gt;"&amp;AA$8)</f>
        <v>0</v>
      </c>
      <c r="AC70" s="43">
        <f>SUMIFS('Journal Entries'!$L:$L,'Journal Entries'!$K:$K,$C70,'Journal Entries'!$C:$C,"&lt;="&amp;AC$8,'Journal Entries'!$C:$C,"&gt;"&amp;AB$8)</f>
        <v>0</v>
      </c>
      <c r="AD70" s="43">
        <f>SUMIFS('Journal Entries'!$L:$L,'Journal Entries'!$K:$K,$C70,'Journal Entries'!$C:$C,"&lt;="&amp;AD$8,'Journal Entries'!$C:$C,"&gt;"&amp;AC$8)</f>
        <v>0</v>
      </c>
      <c r="AE70" s="43">
        <f>SUMIFS('Journal Entries'!$L:$L,'Journal Entries'!$K:$K,$C70,'Journal Entries'!$C:$C,"&lt;="&amp;AE$8,'Journal Entries'!$C:$C,"&gt;"&amp;AD$8)</f>
        <v>0</v>
      </c>
      <c r="AF70" s="43">
        <f>SUMIFS('Journal Entries'!$L:$L,'Journal Entries'!$K:$K,$C70,'Journal Entries'!$C:$C,"&lt;="&amp;AF$8,'Journal Entries'!$C:$C,"&gt;"&amp;AE$8)</f>
        <v>0</v>
      </c>
      <c r="AG70" s="43">
        <f>SUMIFS('Journal Entries'!$L:$L,'Journal Entries'!$K:$K,$C70,'Journal Entries'!$C:$C,"&lt;="&amp;AG$8,'Journal Entries'!$C:$C,"&gt;"&amp;AF$8)</f>
        <v>0</v>
      </c>
      <c r="AH70" s="43">
        <f>SUMIFS('Journal Entries'!$L:$L,'Journal Entries'!$K:$K,$C70,'Journal Entries'!$C:$C,"&lt;="&amp;AH$8,'Journal Entries'!$C:$C,"&gt;"&amp;AG$8)</f>
        <v>0</v>
      </c>
      <c r="AI70" s="43">
        <f>SUMIFS('Journal Entries'!$L:$L,'Journal Entries'!$K:$K,$C70,'Journal Entries'!$C:$C,"&lt;="&amp;AI$8,'Journal Entries'!$C:$C,"&gt;"&amp;AH$8)</f>
        <v>0</v>
      </c>
      <c r="AJ70" s="43">
        <f>SUMIFS('Journal Entries'!$L:$L,'Journal Entries'!$K:$K,$C70,'Journal Entries'!$C:$C,"&lt;="&amp;AJ$8,'Journal Entries'!$C:$C,"&gt;"&amp;AI$8)</f>
        <v>0</v>
      </c>
      <c r="AK70" s="43">
        <f>SUMIFS('Journal Entries'!$L:$L,'Journal Entries'!$K:$K,$C70,'Journal Entries'!$C:$C,"&lt;="&amp;AK$8,'Journal Entries'!$C:$C,"&gt;"&amp;AJ$8)</f>
        <v>0</v>
      </c>
      <c r="AL70" s="43">
        <f>SUMIFS('Journal Entries'!$L:$L,'Journal Entries'!$K:$K,$C70,'Journal Entries'!$C:$C,"&lt;="&amp;AL$8,'Journal Entries'!$C:$C,"&gt;"&amp;AK$8)</f>
        <v>0</v>
      </c>
      <c r="AM70" s="43">
        <f>SUMIFS('Journal Entries'!$L:$L,'Journal Entries'!$K:$K,$C70,'Journal Entries'!$C:$C,"&lt;="&amp;AM$8,'Journal Entries'!$C:$C,"&gt;"&amp;AL$8)</f>
        <v>0</v>
      </c>
      <c r="AN70" s="43">
        <f>SUMIFS('Journal Entries'!$L:$L,'Journal Entries'!$K:$K,$C70,'Journal Entries'!$C:$C,"&lt;="&amp;AN$8,'Journal Entries'!$C:$C,"&gt;"&amp;AM$8)</f>
        <v>0</v>
      </c>
      <c r="AO70" s="43">
        <f>SUMIFS('Journal Entries'!$L:$L,'Journal Entries'!$K:$K,$C70,'Journal Entries'!$C:$C,"&lt;="&amp;AO$8,'Journal Entries'!$C:$C,"&gt;"&amp;AN$8)</f>
        <v>0</v>
      </c>
      <c r="AP70" s="43">
        <f>SUMIFS('Journal Entries'!$L:$L,'Journal Entries'!$K:$K,$C70,'Journal Entries'!$C:$C,"&lt;="&amp;AP$8,'Journal Entries'!$C:$C,"&gt;"&amp;AO$8)</f>
        <v>0</v>
      </c>
      <c r="AQ70" s="43">
        <f>SUMIFS('Journal Entries'!$L:$L,'Journal Entries'!$K:$K,$C70,'Journal Entries'!$C:$C,"&lt;="&amp;AQ$8,'Journal Entries'!$C:$C,"&gt;"&amp;AP$8)</f>
        <v>0</v>
      </c>
      <c r="AR70" s="43">
        <f>SUMIFS('Journal Entries'!$L:$L,'Journal Entries'!$K:$K,$C70,'Journal Entries'!$C:$C,"&lt;="&amp;AR$8,'Journal Entries'!$C:$C,"&gt;"&amp;AQ$8)</f>
        <v>0</v>
      </c>
      <c r="AS70" s="43">
        <f>SUMIFS('Journal Entries'!$L:$L,'Journal Entries'!$K:$K,$C70,'Journal Entries'!$C:$C,"&lt;="&amp;AS$8,'Journal Entries'!$C:$C,"&gt;"&amp;AR$8)</f>
        <v>0</v>
      </c>
      <c r="AT70" s="43">
        <f>SUMIFS('Journal Entries'!$L:$L,'Journal Entries'!$K:$K,$C70,'Journal Entries'!$C:$C,"&lt;="&amp;AT$8,'Journal Entries'!$C:$C,"&gt;"&amp;AS$8)</f>
        <v>0</v>
      </c>
      <c r="AU70" s="43">
        <f>SUMIFS('Journal Entries'!$L:$L,'Journal Entries'!$K:$K,$C70,'Journal Entries'!$C:$C,"&lt;="&amp;AU$8,'Journal Entries'!$C:$C,"&gt;"&amp;AT$8)</f>
        <v>0</v>
      </c>
      <c r="AV70" s="43">
        <f>SUMIFS('Journal Entries'!$L:$L,'Journal Entries'!$K:$K,$C70,'Journal Entries'!$C:$C,"&lt;="&amp;AV$8,'Journal Entries'!$C:$C,"&gt;"&amp;AU$8)</f>
        <v>0</v>
      </c>
      <c r="AW70" s="43">
        <f>SUMIFS('Journal Entries'!$L:$L,'Journal Entries'!$K:$K,$C70,'Journal Entries'!$C:$C,"&lt;="&amp;AW$8,'Journal Entries'!$C:$C,"&gt;"&amp;AV$8)</f>
        <v>0</v>
      </c>
      <c r="AX70" s="43">
        <f>SUMIFS('Journal Entries'!$L:$L,'Journal Entries'!$K:$K,$C70,'Journal Entries'!$C:$C,"&lt;="&amp;AX$8,'Journal Entries'!$C:$C,"&gt;"&amp;AW$8)</f>
        <v>0</v>
      </c>
      <c r="AY70" s="43">
        <f>SUMIFS('Journal Entries'!$L:$L,'Journal Entries'!$K:$K,$C70,'Journal Entries'!$C:$C,"&lt;="&amp;AY$8,'Journal Entries'!$C:$C,"&gt;"&amp;AX$8)</f>
        <v>0</v>
      </c>
      <c r="AZ70" s="43">
        <f>SUMIFS('Journal Entries'!$L:$L,'Journal Entries'!$K:$K,$C70,'Journal Entries'!$C:$C,"&lt;="&amp;AZ$8,'Journal Entries'!$C:$C,"&gt;"&amp;AY$8)</f>
        <v>0</v>
      </c>
      <c r="BA70" s="43">
        <f>SUMIFS('Journal Entries'!$L:$L,'Journal Entries'!$K:$K,$C70,'Journal Entries'!$C:$C,"&lt;="&amp;BA$8,'Journal Entries'!$C:$C,"&gt;"&amp;AZ$8)</f>
        <v>0</v>
      </c>
      <c r="BB70" s="43">
        <f>SUMIFS('Journal Entries'!$L:$L,'Journal Entries'!$K:$K,$C70,'Journal Entries'!$C:$C,"&lt;="&amp;BB$8,'Journal Entries'!$C:$C,"&gt;"&amp;BA$8)</f>
        <v>0</v>
      </c>
      <c r="BC70" s="43">
        <f>SUMIFS('Journal Entries'!$L:$L,'Journal Entries'!$K:$K,$C70,'Journal Entries'!$C:$C,"&lt;="&amp;BC$8,'Journal Entries'!$C:$C,"&gt;"&amp;BB$8)</f>
        <v>0</v>
      </c>
      <c r="BD70" s="43">
        <f>SUMIFS('Journal Entries'!$L:$L,'Journal Entries'!$K:$K,$C70,'Journal Entries'!$C:$C,"&lt;="&amp;BD$8,'Journal Entries'!$C:$C,"&gt;"&amp;BC$8)</f>
        <v>0</v>
      </c>
      <c r="BE70" s="43">
        <f>SUMIFS('Journal Entries'!$L:$L,'Journal Entries'!$K:$K,$C70,'Journal Entries'!$C:$C,"&lt;="&amp;BE$8,'Journal Entries'!$C:$C,"&gt;"&amp;BD$8)</f>
        <v>0</v>
      </c>
      <c r="BF70" s="43">
        <f>SUMIFS('Journal Entries'!$L:$L,'Journal Entries'!$K:$K,$C70,'Journal Entries'!$C:$C,"&lt;="&amp;BF$8,'Journal Entries'!$C:$C,"&gt;"&amp;BE$8)</f>
        <v>0</v>
      </c>
      <c r="BG70" s="43">
        <f>SUMIFS('Journal Entries'!$L:$L,'Journal Entries'!$K:$K,$C70,'Journal Entries'!$C:$C,"&lt;="&amp;BG$8,'Journal Entries'!$C:$C,"&gt;"&amp;BF$8)</f>
        <v>0</v>
      </c>
      <c r="BH70" s="43">
        <f>SUMIFS('Journal Entries'!$L:$L,'Journal Entries'!$K:$K,$C70,'Journal Entries'!$C:$C,"&lt;="&amp;BH$8,'Journal Entries'!$C:$C,"&gt;"&amp;BG$8)</f>
        <v>0</v>
      </c>
      <c r="BI70" s="43">
        <f>SUMIFS('Journal Entries'!$L:$L,'Journal Entries'!$K:$K,$C70,'Journal Entries'!$C:$C,"&lt;="&amp;BI$8,'Journal Entries'!$C:$C,"&gt;"&amp;BH$8)</f>
        <v>0</v>
      </c>
      <c r="BJ70" s="43">
        <f>SUMIFS('Journal Entries'!$L:$L,'Journal Entries'!$K:$K,$C70,'Journal Entries'!$C:$C,"&lt;="&amp;BJ$8,'Journal Entries'!$C:$C,"&gt;"&amp;BI$8)</f>
        <v>0</v>
      </c>
      <c r="BK70" s="43">
        <f>SUMIFS('Journal Entries'!$L:$L,'Journal Entries'!$K:$K,$C70,'Journal Entries'!$C:$C,"&lt;="&amp;BK$8,'Journal Entries'!$C:$C,"&gt;"&amp;BJ$8)</f>
        <v>0</v>
      </c>
      <c r="BL70" s="43">
        <f>SUMIFS('Journal Entries'!$L:$L,'Journal Entries'!$K:$K,$C70,'Journal Entries'!$C:$C,"&lt;="&amp;BL$8,'Journal Entries'!$C:$C,"&gt;"&amp;BK$8)</f>
        <v>0</v>
      </c>
    </row>
    <row r="71" spans="2:64" x14ac:dyDescent="0.25">
      <c r="B71" s="10">
        <v>5190</v>
      </c>
      <c r="C71" s="10" t="str">
        <f>VLOOKUP(B71,'Chart of Accounts'!$B$3:$C$95,2,0)</f>
        <v>Salaries and wages</v>
      </c>
      <c r="D71" s="525">
        <f t="shared" si="2"/>
        <v>0</v>
      </c>
      <c r="E71" s="43">
        <f>SUMIFS('Journal Entries'!$L:$L,'Journal Entries'!$K:$K,$C71,'Journal Entries'!$C:$C,"&lt;="&amp;E$8,'Journal Entries'!$C:$C,"&gt;"&amp;D$8)</f>
        <v>0</v>
      </c>
      <c r="F71" s="43">
        <f>SUMIFS('Journal Entries'!$L:$L,'Journal Entries'!$K:$K,$C71,'Journal Entries'!$C:$C,"&lt;="&amp;F$8,'Journal Entries'!$C:$C,"&gt;"&amp;E$8)</f>
        <v>0</v>
      </c>
      <c r="G71" s="43">
        <f>SUMIFS('Journal Entries'!$L:$L,'Journal Entries'!$K:$K,$C71,'Journal Entries'!$C:$C,"&lt;="&amp;G$8,'Journal Entries'!$C:$C,"&gt;"&amp;F$8)</f>
        <v>0</v>
      </c>
      <c r="H71" s="43">
        <f>SUMIFS('Journal Entries'!$L:$L,'Journal Entries'!$K:$K,$C71,'Journal Entries'!$C:$C,"&lt;="&amp;H$8,'Journal Entries'!$C:$C,"&gt;"&amp;G$8)</f>
        <v>0</v>
      </c>
      <c r="I71" s="43">
        <f>SUMIFS('Journal Entries'!$L:$L,'Journal Entries'!$K:$K,$C71,'Journal Entries'!$C:$C,"&lt;="&amp;I$8,'Journal Entries'!$C:$C,"&gt;"&amp;H$8)</f>
        <v>0</v>
      </c>
      <c r="J71" s="43">
        <f>SUMIFS('Journal Entries'!$L:$L,'Journal Entries'!$K:$K,$C71,'Journal Entries'!$C:$C,"&lt;="&amp;J$8,'Journal Entries'!$C:$C,"&gt;"&amp;I$8)</f>
        <v>0</v>
      </c>
      <c r="K71" s="43">
        <f>SUMIFS('Journal Entries'!$L:$L,'Journal Entries'!$K:$K,$C71,'Journal Entries'!$C:$C,"&lt;="&amp;K$8,'Journal Entries'!$C:$C,"&gt;"&amp;J$8)</f>
        <v>0</v>
      </c>
      <c r="L71" s="43">
        <f>SUMIFS('Journal Entries'!$L:$L,'Journal Entries'!$K:$K,$C71,'Journal Entries'!$C:$C,"&lt;="&amp;L$8,'Journal Entries'!$C:$C,"&gt;"&amp;K$8)</f>
        <v>0</v>
      </c>
      <c r="M71" s="43">
        <f>SUMIFS('Journal Entries'!$L:$L,'Journal Entries'!$K:$K,$C71,'Journal Entries'!$C:$C,"&lt;="&amp;M$8,'Journal Entries'!$C:$C,"&gt;"&amp;L$8)</f>
        <v>0</v>
      </c>
      <c r="N71" s="43">
        <f>SUMIFS('Journal Entries'!$L:$L,'Journal Entries'!$K:$K,$C71,'Journal Entries'!$C:$C,"&lt;="&amp;N$8,'Journal Entries'!$C:$C,"&gt;"&amp;M$8)</f>
        <v>0</v>
      </c>
      <c r="O71" s="43">
        <f>SUMIFS('Journal Entries'!$L:$L,'Journal Entries'!$K:$K,$C71,'Journal Entries'!$C:$C,"&lt;="&amp;O$8,'Journal Entries'!$C:$C,"&gt;"&amp;N$8)</f>
        <v>0</v>
      </c>
      <c r="P71" s="43">
        <f>SUMIFS('Journal Entries'!$L:$L,'Journal Entries'!$K:$K,$C71,'Journal Entries'!$C:$C,"&lt;="&amp;P$8,'Journal Entries'!$C:$C,"&gt;"&amp;O$8)</f>
        <v>0</v>
      </c>
      <c r="Q71" s="43">
        <f>SUMIFS('Journal Entries'!$L:$L,'Journal Entries'!$K:$K,$C71,'Journal Entries'!$C:$C,"&lt;="&amp;Q$8,'Journal Entries'!$C:$C,"&gt;"&amp;P$8)</f>
        <v>0</v>
      </c>
      <c r="R71" s="43">
        <f>SUMIFS('Journal Entries'!$L:$L,'Journal Entries'!$K:$K,$C71,'Journal Entries'!$C:$C,"&lt;="&amp;R$8,'Journal Entries'!$C:$C,"&gt;"&amp;Q$8)</f>
        <v>0</v>
      </c>
      <c r="S71" s="43">
        <f>SUMIFS('Journal Entries'!$L:$L,'Journal Entries'!$K:$K,$C71,'Journal Entries'!$C:$C,"&lt;="&amp;S$8,'Journal Entries'!$C:$C,"&gt;"&amp;R$8)</f>
        <v>0</v>
      </c>
      <c r="T71" s="43">
        <f>SUMIFS('Journal Entries'!$L:$L,'Journal Entries'!$K:$K,$C71,'Journal Entries'!$C:$C,"&lt;="&amp;T$8,'Journal Entries'!$C:$C,"&gt;"&amp;S$8)</f>
        <v>0</v>
      </c>
      <c r="U71" s="43">
        <f>SUMIFS('Journal Entries'!$L:$L,'Journal Entries'!$K:$K,$C71,'Journal Entries'!$C:$C,"&lt;="&amp;U$8,'Journal Entries'!$C:$C,"&gt;"&amp;T$8)</f>
        <v>0</v>
      </c>
      <c r="V71" s="43">
        <f>SUMIFS('Journal Entries'!$L:$L,'Journal Entries'!$K:$K,$C71,'Journal Entries'!$C:$C,"&lt;="&amp;V$8,'Journal Entries'!$C:$C,"&gt;"&amp;U$8)</f>
        <v>0</v>
      </c>
      <c r="W71" s="43">
        <f>SUMIFS('Journal Entries'!$L:$L,'Journal Entries'!$K:$K,$C71,'Journal Entries'!$C:$C,"&lt;="&amp;W$8,'Journal Entries'!$C:$C,"&gt;"&amp;V$8)</f>
        <v>0</v>
      </c>
      <c r="X71" s="43">
        <f>SUMIFS('Journal Entries'!$L:$L,'Journal Entries'!$K:$K,$C71,'Journal Entries'!$C:$C,"&lt;="&amp;X$8,'Journal Entries'!$C:$C,"&gt;"&amp;W$8)</f>
        <v>0</v>
      </c>
      <c r="Y71" s="43">
        <f>SUMIFS('Journal Entries'!$L:$L,'Journal Entries'!$K:$K,$C71,'Journal Entries'!$C:$C,"&lt;="&amp;Y$8,'Journal Entries'!$C:$C,"&gt;"&amp;X$8)</f>
        <v>0</v>
      </c>
      <c r="Z71" s="43">
        <f>SUMIFS('Journal Entries'!$L:$L,'Journal Entries'!$K:$K,$C71,'Journal Entries'!$C:$C,"&lt;="&amp;Z$8,'Journal Entries'!$C:$C,"&gt;"&amp;Y$8)</f>
        <v>0</v>
      </c>
      <c r="AA71" s="43">
        <f>SUMIFS('Journal Entries'!$L:$L,'Journal Entries'!$K:$K,$C71,'Journal Entries'!$C:$C,"&lt;="&amp;AA$8,'Journal Entries'!$C:$C,"&gt;"&amp;Z$8)</f>
        <v>0</v>
      </c>
      <c r="AB71" s="43">
        <f>SUMIFS('Journal Entries'!$L:$L,'Journal Entries'!$K:$K,$C71,'Journal Entries'!$C:$C,"&lt;="&amp;AB$8,'Journal Entries'!$C:$C,"&gt;"&amp;AA$8)</f>
        <v>0</v>
      </c>
      <c r="AC71" s="43">
        <f>SUMIFS('Journal Entries'!$L:$L,'Journal Entries'!$K:$K,$C71,'Journal Entries'!$C:$C,"&lt;="&amp;AC$8,'Journal Entries'!$C:$C,"&gt;"&amp;AB$8)</f>
        <v>0</v>
      </c>
      <c r="AD71" s="43">
        <f>SUMIFS('Journal Entries'!$L:$L,'Journal Entries'!$K:$K,$C71,'Journal Entries'!$C:$C,"&lt;="&amp;AD$8,'Journal Entries'!$C:$C,"&gt;"&amp;AC$8)</f>
        <v>0</v>
      </c>
      <c r="AE71" s="43">
        <f>SUMIFS('Journal Entries'!$L:$L,'Journal Entries'!$K:$K,$C71,'Journal Entries'!$C:$C,"&lt;="&amp;AE$8,'Journal Entries'!$C:$C,"&gt;"&amp;AD$8)</f>
        <v>0</v>
      </c>
      <c r="AF71" s="43">
        <f>SUMIFS('Journal Entries'!$L:$L,'Journal Entries'!$K:$K,$C71,'Journal Entries'!$C:$C,"&lt;="&amp;AF$8,'Journal Entries'!$C:$C,"&gt;"&amp;AE$8)</f>
        <v>0</v>
      </c>
      <c r="AG71" s="43">
        <f>SUMIFS('Journal Entries'!$L:$L,'Journal Entries'!$K:$K,$C71,'Journal Entries'!$C:$C,"&lt;="&amp;AG$8,'Journal Entries'!$C:$C,"&gt;"&amp;AF$8)</f>
        <v>0</v>
      </c>
      <c r="AH71" s="43">
        <f>SUMIFS('Journal Entries'!$L:$L,'Journal Entries'!$K:$K,$C71,'Journal Entries'!$C:$C,"&lt;="&amp;AH$8,'Journal Entries'!$C:$C,"&gt;"&amp;AG$8)</f>
        <v>0</v>
      </c>
      <c r="AI71" s="43">
        <f>SUMIFS('Journal Entries'!$L:$L,'Journal Entries'!$K:$K,$C71,'Journal Entries'!$C:$C,"&lt;="&amp;AI$8,'Journal Entries'!$C:$C,"&gt;"&amp;AH$8)</f>
        <v>0</v>
      </c>
      <c r="AJ71" s="43">
        <f>SUMIFS('Journal Entries'!$L:$L,'Journal Entries'!$K:$K,$C71,'Journal Entries'!$C:$C,"&lt;="&amp;AJ$8,'Journal Entries'!$C:$C,"&gt;"&amp;AI$8)</f>
        <v>0</v>
      </c>
      <c r="AK71" s="43">
        <f>SUMIFS('Journal Entries'!$L:$L,'Journal Entries'!$K:$K,$C71,'Journal Entries'!$C:$C,"&lt;="&amp;AK$8,'Journal Entries'!$C:$C,"&gt;"&amp;AJ$8)</f>
        <v>0</v>
      </c>
      <c r="AL71" s="43">
        <f>SUMIFS('Journal Entries'!$L:$L,'Journal Entries'!$K:$K,$C71,'Journal Entries'!$C:$C,"&lt;="&amp;AL$8,'Journal Entries'!$C:$C,"&gt;"&amp;AK$8)</f>
        <v>0</v>
      </c>
      <c r="AM71" s="43">
        <f>SUMIFS('Journal Entries'!$L:$L,'Journal Entries'!$K:$K,$C71,'Journal Entries'!$C:$C,"&lt;="&amp;AM$8,'Journal Entries'!$C:$C,"&gt;"&amp;AL$8)</f>
        <v>0</v>
      </c>
      <c r="AN71" s="43">
        <f>SUMIFS('Journal Entries'!$L:$L,'Journal Entries'!$K:$K,$C71,'Journal Entries'!$C:$C,"&lt;="&amp;AN$8,'Journal Entries'!$C:$C,"&gt;"&amp;AM$8)</f>
        <v>0</v>
      </c>
      <c r="AO71" s="43">
        <f>SUMIFS('Journal Entries'!$L:$L,'Journal Entries'!$K:$K,$C71,'Journal Entries'!$C:$C,"&lt;="&amp;AO$8,'Journal Entries'!$C:$C,"&gt;"&amp;AN$8)</f>
        <v>0</v>
      </c>
      <c r="AP71" s="43">
        <f>SUMIFS('Journal Entries'!$L:$L,'Journal Entries'!$K:$K,$C71,'Journal Entries'!$C:$C,"&lt;="&amp;AP$8,'Journal Entries'!$C:$C,"&gt;"&amp;AO$8)</f>
        <v>0</v>
      </c>
      <c r="AQ71" s="43">
        <f>SUMIFS('Journal Entries'!$L:$L,'Journal Entries'!$K:$K,$C71,'Journal Entries'!$C:$C,"&lt;="&amp;AQ$8,'Journal Entries'!$C:$C,"&gt;"&amp;AP$8)</f>
        <v>0</v>
      </c>
      <c r="AR71" s="43">
        <f>SUMIFS('Journal Entries'!$L:$L,'Journal Entries'!$K:$K,$C71,'Journal Entries'!$C:$C,"&lt;="&amp;AR$8,'Journal Entries'!$C:$C,"&gt;"&amp;AQ$8)</f>
        <v>0</v>
      </c>
      <c r="AS71" s="43">
        <f>SUMIFS('Journal Entries'!$L:$L,'Journal Entries'!$K:$K,$C71,'Journal Entries'!$C:$C,"&lt;="&amp;AS$8,'Journal Entries'!$C:$C,"&gt;"&amp;AR$8)</f>
        <v>0</v>
      </c>
      <c r="AT71" s="43">
        <f>SUMIFS('Journal Entries'!$L:$L,'Journal Entries'!$K:$K,$C71,'Journal Entries'!$C:$C,"&lt;="&amp;AT$8,'Journal Entries'!$C:$C,"&gt;"&amp;AS$8)</f>
        <v>0</v>
      </c>
      <c r="AU71" s="43">
        <f>SUMIFS('Journal Entries'!$L:$L,'Journal Entries'!$K:$K,$C71,'Journal Entries'!$C:$C,"&lt;="&amp;AU$8,'Journal Entries'!$C:$C,"&gt;"&amp;AT$8)</f>
        <v>0</v>
      </c>
      <c r="AV71" s="43">
        <f>SUMIFS('Journal Entries'!$L:$L,'Journal Entries'!$K:$K,$C71,'Journal Entries'!$C:$C,"&lt;="&amp;AV$8,'Journal Entries'!$C:$C,"&gt;"&amp;AU$8)</f>
        <v>0</v>
      </c>
      <c r="AW71" s="43">
        <f>SUMIFS('Journal Entries'!$L:$L,'Journal Entries'!$K:$K,$C71,'Journal Entries'!$C:$C,"&lt;="&amp;AW$8,'Journal Entries'!$C:$C,"&gt;"&amp;AV$8)</f>
        <v>0</v>
      </c>
      <c r="AX71" s="43">
        <f>SUMIFS('Journal Entries'!$L:$L,'Journal Entries'!$K:$K,$C71,'Journal Entries'!$C:$C,"&lt;="&amp;AX$8,'Journal Entries'!$C:$C,"&gt;"&amp;AW$8)</f>
        <v>0</v>
      </c>
      <c r="AY71" s="43">
        <f>SUMIFS('Journal Entries'!$L:$L,'Journal Entries'!$K:$K,$C71,'Journal Entries'!$C:$C,"&lt;="&amp;AY$8,'Journal Entries'!$C:$C,"&gt;"&amp;AX$8)</f>
        <v>0</v>
      </c>
      <c r="AZ71" s="43">
        <f>SUMIFS('Journal Entries'!$L:$L,'Journal Entries'!$K:$K,$C71,'Journal Entries'!$C:$C,"&lt;="&amp;AZ$8,'Journal Entries'!$C:$C,"&gt;"&amp;AY$8)</f>
        <v>0</v>
      </c>
      <c r="BA71" s="43">
        <f>SUMIFS('Journal Entries'!$L:$L,'Journal Entries'!$K:$K,$C71,'Journal Entries'!$C:$C,"&lt;="&amp;BA$8,'Journal Entries'!$C:$C,"&gt;"&amp;AZ$8)</f>
        <v>0</v>
      </c>
      <c r="BB71" s="43">
        <f>SUMIFS('Journal Entries'!$L:$L,'Journal Entries'!$K:$K,$C71,'Journal Entries'!$C:$C,"&lt;="&amp;BB$8,'Journal Entries'!$C:$C,"&gt;"&amp;BA$8)</f>
        <v>0</v>
      </c>
      <c r="BC71" s="43">
        <f>SUMIFS('Journal Entries'!$L:$L,'Journal Entries'!$K:$K,$C71,'Journal Entries'!$C:$C,"&lt;="&amp;BC$8,'Journal Entries'!$C:$C,"&gt;"&amp;BB$8)</f>
        <v>0</v>
      </c>
      <c r="BD71" s="43">
        <f>SUMIFS('Journal Entries'!$L:$L,'Journal Entries'!$K:$K,$C71,'Journal Entries'!$C:$C,"&lt;="&amp;BD$8,'Journal Entries'!$C:$C,"&gt;"&amp;BC$8)</f>
        <v>0</v>
      </c>
      <c r="BE71" s="43">
        <f>SUMIFS('Journal Entries'!$L:$L,'Journal Entries'!$K:$K,$C71,'Journal Entries'!$C:$C,"&lt;="&amp;BE$8,'Journal Entries'!$C:$C,"&gt;"&amp;BD$8)</f>
        <v>0</v>
      </c>
      <c r="BF71" s="43">
        <f>SUMIFS('Journal Entries'!$L:$L,'Journal Entries'!$K:$K,$C71,'Journal Entries'!$C:$C,"&lt;="&amp;BF$8,'Journal Entries'!$C:$C,"&gt;"&amp;BE$8)</f>
        <v>0</v>
      </c>
      <c r="BG71" s="43">
        <f>SUMIFS('Journal Entries'!$L:$L,'Journal Entries'!$K:$K,$C71,'Journal Entries'!$C:$C,"&lt;="&amp;BG$8,'Journal Entries'!$C:$C,"&gt;"&amp;BF$8)</f>
        <v>0</v>
      </c>
      <c r="BH71" s="43">
        <f>SUMIFS('Journal Entries'!$L:$L,'Journal Entries'!$K:$K,$C71,'Journal Entries'!$C:$C,"&lt;="&amp;BH$8,'Journal Entries'!$C:$C,"&gt;"&amp;BG$8)</f>
        <v>0</v>
      </c>
      <c r="BI71" s="43">
        <f>SUMIFS('Journal Entries'!$L:$L,'Journal Entries'!$K:$K,$C71,'Journal Entries'!$C:$C,"&lt;="&amp;BI$8,'Journal Entries'!$C:$C,"&gt;"&amp;BH$8)</f>
        <v>0</v>
      </c>
      <c r="BJ71" s="43">
        <f>SUMIFS('Journal Entries'!$L:$L,'Journal Entries'!$K:$K,$C71,'Journal Entries'!$C:$C,"&lt;="&amp;BJ$8,'Journal Entries'!$C:$C,"&gt;"&amp;BI$8)</f>
        <v>0</v>
      </c>
      <c r="BK71" s="43">
        <f>SUMIFS('Journal Entries'!$L:$L,'Journal Entries'!$K:$K,$C71,'Journal Entries'!$C:$C,"&lt;="&amp;BK$8,'Journal Entries'!$C:$C,"&gt;"&amp;BJ$8)</f>
        <v>0</v>
      </c>
      <c r="BL71" s="43">
        <f>SUMIFS('Journal Entries'!$L:$L,'Journal Entries'!$K:$K,$C71,'Journal Entries'!$C:$C,"&lt;="&amp;BL$8,'Journal Entries'!$C:$C,"&gt;"&amp;BK$8)</f>
        <v>0</v>
      </c>
    </row>
    <row r="72" spans="2:64" x14ac:dyDescent="0.25">
      <c r="B72" s="10">
        <v>5200</v>
      </c>
      <c r="C72" s="10" t="str">
        <f>VLOOKUP(B72,'Chart of Accounts'!$B$3:$C$95,2,0)</f>
        <v>Bank charges and fees</v>
      </c>
      <c r="D72" s="525">
        <f t="shared" si="2"/>
        <v>0</v>
      </c>
      <c r="E72" s="43">
        <f>SUMIFS('Journal Entries'!$L:$L,'Journal Entries'!$K:$K,$C72,'Journal Entries'!$C:$C,"&lt;="&amp;E$8,'Journal Entries'!$C:$C,"&gt;"&amp;D$8)</f>
        <v>0</v>
      </c>
      <c r="F72" s="43">
        <f>SUMIFS('Journal Entries'!$L:$L,'Journal Entries'!$K:$K,$C72,'Journal Entries'!$C:$C,"&lt;="&amp;F$8,'Journal Entries'!$C:$C,"&gt;"&amp;E$8)</f>
        <v>0</v>
      </c>
      <c r="G72" s="43">
        <f>SUMIFS('Journal Entries'!$L:$L,'Journal Entries'!$K:$K,$C72,'Journal Entries'!$C:$C,"&lt;="&amp;G$8,'Journal Entries'!$C:$C,"&gt;"&amp;F$8)</f>
        <v>0</v>
      </c>
      <c r="H72" s="43">
        <f>SUMIFS('Journal Entries'!$L:$L,'Journal Entries'!$K:$K,$C72,'Journal Entries'!$C:$C,"&lt;="&amp;H$8,'Journal Entries'!$C:$C,"&gt;"&amp;G$8)</f>
        <v>0</v>
      </c>
      <c r="I72" s="43">
        <f>SUMIFS('Journal Entries'!$L:$L,'Journal Entries'!$K:$K,$C72,'Journal Entries'!$C:$C,"&lt;="&amp;I$8,'Journal Entries'!$C:$C,"&gt;"&amp;H$8)</f>
        <v>0</v>
      </c>
      <c r="J72" s="43">
        <f>SUMIFS('Journal Entries'!$L:$L,'Journal Entries'!$K:$K,$C72,'Journal Entries'!$C:$C,"&lt;="&amp;J$8,'Journal Entries'!$C:$C,"&gt;"&amp;I$8)</f>
        <v>0</v>
      </c>
      <c r="K72" s="43">
        <f>SUMIFS('Journal Entries'!$L:$L,'Journal Entries'!$K:$K,$C72,'Journal Entries'!$C:$C,"&lt;="&amp;K$8,'Journal Entries'!$C:$C,"&gt;"&amp;J$8)</f>
        <v>0</v>
      </c>
      <c r="L72" s="43">
        <f>SUMIFS('Journal Entries'!$L:$L,'Journal Entries'!$K:$K,$C72,'Journal Entries'!$C:$C,"&lt;="&amp;L$8,'Journal Entries'!$C:$C,"&gt;"&amp;K$8)</f>
        <v>0</v>
      </c>
      <c r="M72" s="43">
        <f>SUMIFS('Journal Entries'!$L:$L,'Journal Entries'!$K:$K,$C72,'Journal Entries'!$C:$C,"&lt;="&amp;M$8,'Journal Entries'!$C:$C,"&gt;"&amp;L$8)</f>
        <v>0</v>
      </c>
      <c r="N72" s="43">
        <f>SUMIFS('Journal Entries'!$L:$L,'Journal Entries'!$K:$K,$C72,'Journal Entries'!$C:$C,"&lt;="&amp;N$8,'Journal Entries'!$C:$C,"&gt;"&amp;M$8)</f>
        <v>0</v>
      </c>
      <c r="O72" s="43">
        <f>SUMIFS('Journal Entries'!$L:$L,'Journal Entries'!$K:$K,$C72,'Journal Entries'!$C:$C,"&lt;="&amp;O$8,'Journal Entries'!$C:$C,"&gt;"&amp;N$8)</f>
        <v>0</v>
      </c>
      <c r="P72" s="43">
        <f>SUMIFS('Journal Entries'!$L:$L,'Journal Entries'!$K:$K,$C72,'Journal Entries'!$C:$C,"&lt;="&amp;P$8,'Journal Entries'!$C:$C,"&gt;"&amp;O$8)</f>
        <v>0</v>
      </c>
      <c r="Q72" s="43">
        <f>SUMIFS('Journal Entries'!$L:$L,'Journal Entries'!$K:$K,$C72,'Journal Entries'!$C:$C,"&lt;="&amp;Q$8,'Journal Entries'!$C:$C,"&gt;"&amp;P$8)</f>
        <v>0</v>
      </c>
      <c r="R72" s="43">
        <f>SUMIFS('Journal Entries'!$L:$L,'Journal Entries'!$K:$K,$C72,'Journal Entries'!$C:$C,"&lt;="&amp;R$8,'Journal Entries'!$C:$C,"&gt;"&amp;Q$8)</f>
        <v>0</v>
      </c>
      <c r="S72" s="43">
        <f>SUMIFS('Journal Entries'!$L:$L,'Journal Entries'!$K:$K,$C72,'Journal Entries'!$C:$C,"&lt;="&amp;S$8,'Journal Entries'!$C:$C,"&gt;"&amp;R$8)</f>
        <v>0</v>
      </c>
      <c r="T72" s="43">
        <f>SUMIFS('Journal Entries'!$L:$L,'Journal Entries'!$K:$K,$C72,'Journal Entries'!$C:$C,"&lt;="&amp;T$8,'Journal Entries'!$C:$C,"&gt;"&amp;S$8)</f>
        <v>0</v>
      </c>
      <c r="U72" s="43">
        <f>SUMIFS('Journal Entries'!$L:$L,'Journal Entries'!$K:$K,$C72,'Journal Entries'!$C:$C,"&lt;="&amp;U$8,'Journal Entries'!$C:$C,"&gt;"&amp;T$8)</f>
        <v>0</v>
      </c>
      <c r="V72" s="43">
        <f>SUMIFS('Journal Entries'!$L:$L,'Journal Entries'!$K:$K,$C72,'Journal Entries'!$C:$C,"&lt;="&amp;V$8,'Journal Entries'!$C:$C,"&gt;"&amp;U$8)</f>
        <v>0</v>
      </c>
      <c r="W72" s="43">
        <f>SUMIFS('Journal Entries'!$L:$L,'Journal Entries'!$K:$K,$C72,'Journal Entries'!$C:$C,"&lt;="&amp;W$8,'Journal Entries'!$C:$C,"&gt;"&amp;V$8)</f>
        <v>0</v>
      </c>
      <c r="X72" s="43">
        <f>SUMIFS('Journal Entries'!$L:$L,'Journal Entries'!$K:$K,$C72,'Journal Entries'!$C:$C,"&lt;="&amp;X$8,'Journal Entries'!$C:$C,"&gt;"&amp;W$8)</f>
        <v>0</v>
      </c>
      <c r="Y72" s="43">
        <f>SUMIFS('Journal Entries'!$L:$L,'Journal Entries'!$K:$K,$C72,'Journal Entries'!$C:$C,"&lt;="&amp;Y$8,'Journal Entries'!$C:$C,"&gt;"&amp;X$8)</f>
        <v>0</v>
      </c>
      <c r="Z72" s="43">
        <f>SUMIFS('Journal Entries'!$L:$L,'Journal Entries'!$K:$K,$C72,'Journal Entries'!$C:$C,"&lt;="&amp;Z$8,'Journal Entries'!$C:$C,"&gt;"&amp;Y$8)</f>
        <v>0</v>
      </c>
      <c r="AA72" s="43">
        <f>SUMIFS('Journal Entries'!$L:$L,'Journal Entries'!$K:$K,$C72,'Journal Entries'!$C:$C,"&lt;="&amp;AA$8,'Journal Entries'!$C:$C,"&gt;"&amp;Z$8)</f>
        <v>0</v>
      </c>
      <c r="AB72" s="43">
        <f>SUMIFS('Journal Entries'!$L:$L,'Journal Entries'!$K:$K,$C72,'Journal Entries'!$C:$C,"&lt;="&amp;AB$8,'Journal Entries'!$C:$C,"&gt;"&amp;AA$8)</f>
        <v>0</v>
      </c>
      <c r="AC72" s="43">
        <f>SUMIFS('Journal Entries'!$L:$L,'Journal Entries'!$K:$K,$C72,'Journal Entries'!$C:$C,"&lt;="&amp;AC$8,'Journal Entries'!$C:$C,"&gt;"&amp;AB$8)</f>
        <v>0</v>
      </c>
      <c r="AD72" s="43">
        <f>SUMIFS('Journal Entries'!$L:$L,'Journal Entries'!$K:$K,$C72,'Journal Entries'!$C:$C,"&lt;="&amp;AD$8,'Journal Entries'!$C:$C,"&gt;"&amp;AC$8)</f>
        <v>0</v>
      </c>
      <c r="AE72" s="43">
        <f>SUMIFS('Journal Entries'!$L:$L,'Journal Entries'!$K:$K,$C72,'Journal Entries'!$C:$C,"&lt;="&amp;AE$8,'Journal Entries'!$C:$C,"&gt;"&amp;AD$8)</f>
        <v>0</v>
      </c>
      <c r="AF72" s="43">
        <f>SUMIFS('Journal Entries'!$L:$L,'Journal Entries'!$K:$K,$C72,'Journal Entries'!$C:$C,"&lt;="&amp;AF$8,'Journal Entries'!$C:$C,"&gt;"&amp;AE$8)</f>
        <v>0</v>
      </c>
      <c r="AG72" s="43">
        <f>SUMIFS('Journal Entries'!$L:$L,'Journal Entries'!$K:$K,$C72,'Journal Entries'!$C:$C,"&lt;="&amp;AG$8,'Journal Entries'!$C:$C,"&gt;"&amp;AF$8)</f>
        <v>0</v>
      </c>
      <c r="AH72" s="43">
        <f>SUMIFS('Journal Entries'!$L:$L,'Journal Entries'!$K:$K,$C72,'Journal Entries'!$C:$C,"&lt;="&amp;AH$8,'Journal Entries'!$C:$C,"&gt;"&amp;AG$8)</f>
        <v>0</v>
      </c>
      <c r="AI72" s="43">
        <f>SUMIFS('Journal Entries'!$L:$L,'Journal Entries'!$K:$K,$C72,'Journal Entries'!$C:$C,"&lt;="&amp;AI$8,'Journal Entries'!$C:$C,"&gt;"&amp;AH$8)</f>
        <v>0</v>
      </c>
      <c r="AJ72" s="43">
        <f>SUMIFS('Journal Entries'!$L:$L,'Journal Entries'!$K:$K,$C72,'Journal Entries'!$C:$C,"&lt;="&amp;AJ$8,'Journal Entries'!$C:$C,"&gt;"&amp;AI$8)</f>
        <v>0</v>
      </c>
      <c r="AK72" s="43">
        <f>SUMIFS('Journal Entries'!$L:$L,'Journal Entries'!$K:$K,$C72,'Journal Entries'!$C:$C,"&lt;="&amp;AK$8,'Journal Entries'!$C:$C,"&gt;"&amp;AJ$8)</f>
        <v>0</v>
      </c>
      <c r="AL72" s="43">
        <f>SUMIFS('Journal Entries'!$L:$L,'Journal Entries'!$K:$K,$C72,'Journal Entries'!$C:$C,"&lt;="&amp;AL$8,'Journal Entries'!$C:$C,"&gt;"&amp;AK$8)</f>
        <v>0</v>
      </c>
      <c r="AM72" s="43">
        <f>SUMIFS('Journal Entries'!$L:$L,'Journal Entries'!$K:$K,$C72,'Journal Entries'!$C:$C,"&lt;="&amp;AM$8,'Journal Entries'!$C:$C,"&gt;"&amp;AL$8)</f>
        <v>0</v>
      </c>
      <c r="AN72" s="43">
        <f>SUMIFS('Journal Entries'!$L:$L,'Journal Entries'!$K:$K,$C72,'Journal Entries'!$C:$C,"&lt;="&amp;AN$8,'Journal Entries'!$C:$C,"&gt;"&amp;AM$8)</f>
        <v>0</v>
      </c>
      <c r="AO72" s="43">
        <f>SUMIFS('Journal Entries'!$L:$L,'Journal Entries'!$K:$K,$C72,'Journal Entries'!$C:$C,"&lt;="&amp;AO$8,'Journal Entries'!$C:$C,"&gt;"&amp;AN$8)</f>
        <v>0</v>
      </c>
      <c r="AP72" s="43">
        <f>SUMIFS('Journal Entries'!$L:$L,'Journal Entries'!$K:$K,$C72,'Journal Entries'!$C:$C,"&lt;="&amp;AP$8,'Journal Entries'!$C:$C,"&gt;"&amp;AO$8)</f>
        <v>0</v>
      </c>
      <c r="AQ72" s="43">
        <f>SUMIFS('Journal Entries'!$L:$L,'Journal Entries'!$K:$K,$C72,'Journal Entries'!$C:$C,"&lt;="&amp;AQ$8,'Journal Entries'!$C:$C,"&gt;"&amp;AP$8)</f>
        <v>0</v>
      </c>
      <c r="AR72" s="43">
        <f>SUMIFS('Journal Entries'!$L:$L,'Journal Entries'!$K:$K,$C72,'Journal Entries'!$C:$C,"&lt;="&amp;AR$8,'Journal Entries'!$C:$C,"&gt;"&amp;AQ$8)</f>
        <v>0</v>
      </c>
      <c r="AS72" s="43">
        <f>SUMIFS('Journal Entries'!$L:$L,'Journal Entries'!$K:$K,$C72,'Journal Entries'!$C:$C,"&lt;="&amp;AS$8,'Journal Entries'!$C:$C,"&gt;"&amp;AR$8)</f>
        <v>0</v>
      </c>
      <c r="AT72" s="43">
        <f>SUMIFS('Journal Entries'!$L:$L,'Journal Entries'!$K:$K,$C72,'Journal Entries'!$C:$C,"&lt;="&amp;AT$8,'Journal Entries'!$C:$C,"&gt;"&amp;AS$8)</f>
        <v>0</v>
      </c>
      <c r="AU72" s="43">
        <f>SUMIFS('Journal Entries'!$L:$L,'Journal Entries'!$K:$K,$C72,'Journal Entries'!$C:$C,"&lt;="&amp;AU$8,'Journal Entries'!$C:$C,"&gt;"&amp;AT$8)</f>
        <v>0</v>
      </c>
      <c r="AV72" s="43">
        <f>SUMIFS('Journal Entries'!$L:$L,'Journal Entries'!$K:$K,$C72,'Journal Entries'!$C:$C,"&lt;="&amp;AV$8,'Journal Entries'!$C:$C,"&gt;"&amp;AU$8)</f>
        <v>0</v>
      </c>
      <c r="AW72" s="43">
        <f>SUMIFS('Journal Entries'!$L:$L,'Journal Entries'!$K:$K,$C72,'Journal Entries'!$C:$C,"&lt;="&amp;AW$8,'Journal Entries'!$C:$C,"&gt;"&amp;AV$8)</f>
        <v>0</v>
      </c>
      <c r="AX72" s="43">
        <f>SUMIFS('Journal Entries'!$L:$L,'Journal Entries'!$K:$K,$C72,'Journal Entries'!$C:$C,"&lt;="&amp;AX$8,'Journal Entries'!$C:$C,"&gt;"&amp;AW$8)</f>
        <v>0</v>
      </c>
      <c r="AY72" s="43">
        <f>SUMIFS('Journal Entries'!$L:$L,'Journal Entries'!$K:$K,$C72,'Journal Entries'!$C:$C,"&lt;="&amp;AY$8,'Journal Entries'!$C:$C,"&gt;"&amp;AX$8)</f>
        <v>0</v>
      </c>
      <c r="AZ72" s="43">
        <f>SUMIFS('Journal Entries'!$L:$L,'Journal Entries'!$K:$K,$C72,'Journal Entries'!$C:$C,"&lt;="&amp;AZ$8,'Journal Entries'!$C:$C,"&gt;"&amp;AY$8)</f>
        <v>0</v>
      </c>
      <c r="BA72" s="43">
        <f>SUMIFS('Journal Entries'!$L:$L,'Journal Entries'!$K:$K,$C72,'Journal Entries'!$C:$C,"&lt;="&amp;BA$8,'Journal Entries'!$C:$C,"&gt;"&amp;AZ$8)</f>
        <v>0</v>
      </c>
      <c r="BB72" s="43">
        <f>SUMIFS('Journal Entries'!$L:$L,'Journal Entries'!$K:$K,$C72,'Journal Entries'!$C:$C,"&lt;="&amp;BB$8,'Journal Entries'!$C:$C,"&gt;"&amp;BA$8)</f>
        <v>0</v>
      </c>
      <c r="BC72" s="43">
        <f>SUMIFS('Journal Entries'!$L:$L,'Journal Entries'!$K:$K,$C72,'Journal Entries'!$C:$C,"&lt;="&amp;BC$8,'Journal Entries'!$C:$C,"&gt;"&amp;BB$8)</f>
        <v>0</v>
      </c>
      <c r="BD72" s="43">
        <f>SUMIFS('Journal Entries'!$L:$L,'Journal Entries'!$K:$K,$C72,'Journal Entries'!$C:$C,"&lt;="&amp;BD$8,'Journal Entries'!$C:$C,"&gt;"&amp;BC$8)</f>
        <v>0</v>
      </c>
      <c r="BE72" s="43">
        <f>SUMIFS('Journal Entries'!$L:$L,'Journal Entries'!$K:$K,$C72,'Journal Entries'!$C:$C,"&lt;="&amp;BE$8,'Journal Entries'!$C:$C,"&gt;"&amp;BD$8)</f>
        <v>0</v>
      </c>
      <c r="BF72" s="43">
        <f>SUMIFS('Journal Entries'!$L:$L,'Journal Entries'!$K:$K,$C72,'Journal Entries'!$C:$C,"&lt;="&amp;BF$8,'Journal Entries'!$C:$C,"&gt;"&amp;BE$8)</f>
        <v>0</v>
      </c>
      <c r="BG72" s="43">
        <f>SUMIFS('Journal Entries'!$L:$L,'Journal Entries'!$K:$K,$C72,'Journal Entries'!$C:$C,"&lt;="&amp;BG$8,'Journal Entries'!$C:$C,"&gt;"&amp;BF$8)</f>
        <v>0</v>
      </c>
      <c r="BH72" s="43">
        <f>SUMIFS('Journal Entries'!$L:$L,'Journal Entries'!$K:$K,$C72,'Journal Entries'!$C:$C,"&lt;="&amp;BH$8,'Journal Entries'!$C:$C,"&gt;"&amp;BG$8)</f>
        <v>0</v>
      </c>
      <c r="BI72" s="43">
        <f>SUMIFS('Journal Entries'!$L:$L,'Journal Entries'!$K:$K,$C72,'Journal Entries'!$C:$C,"&lt;="&amp;BI$8,'Journal Entries'!$C:$C,"&gt;"&amp;BH$8)</f>
        <v>0</v>
      </c>
      <c r="BJ72" s="43">
        <f>SUMIFS('Journal Entries'!$L:$L,'Journal Entries'!$K:$K,$C72,'Journal Entries'!$C:$C,"&lt;="&amp;BJ$8,'Journal Entries'!$C:$C,"&gt;"&amp;BI$8)</f>
        <v>0</v>
      </c>
      <c r="BK72" s="43">
        <f>SUMIFS('Journal Entries'!$L:$L,'Journal Entries'!$K:$K,$C72,'Journal Entries'!$C:$C,"&lt;="&amp;BK$8,'Journal Entries'!$C:$C,"&gt;"&amp;BJ$8)</f>
        <v>0</v>
      </c>
      <c r="BL72" s="43">
        <f>SUMIFS('Journal Entries'!$L:$L,'Journal Entries'!$K:$K,$C72,'Journal Entries'!$C:$C,"&lt;="&amp;BL$8,'Journal Entries'!$C:$C,"&gt;"&amp;BK$8)</f>
        <v>0</v>
      </c>
    </row>
    <row r="73" spans="2:64" x14ac:dyDescent="0.25">
      <c r="B73" s="10">
        <v>5210</v>
      </c>
      <c r="C73" s="10" t="str">
        <f>VLOOKUP(B73,'Chart of Accounts'!$B$3:$C$95,2,0)</f>
        <v>Travel and entertainment</v>
      </c>
      <c r="D73" s="525">
        <f t="shared" si="2"/>
        <v>0</v>
      </c>
      <c r="E73" s="43">
        <f>SUMIFS('Journal Entries'!$L:$L,'Journal Entries'!$K:$K,$C73,'Journal Entries'!$C:$C,"&lt;="&amp;E$8,'Journal Entries'!$C:$C,"&gt;"&amp;D$8)</f>
        <v>0</v>
      </c>
      <c r="F73" s="43">
        <f>SUMIFS('Journal Entries'!$L:$L,'Journal Entries'!$K:$K,$C73,'Journal Entries'!$C:$C,"&lt;="&amp;F$8,'Journal Entries'!$C:$C,"&gt;"&amp;E$8)</f>
        <v>0</v>
      </c>
      <c r="G73" s="43">
        <f>SUMIFS('Journal Entries'!$L:$L,'Journal Entries'!$K:$K,$C73,'Journal Entries'!$C:$C,"&lt;="&amp;G$8,'Journal Entries'!$C:$C,"&gt;"&amp;F$8)</f>
        <v>0</v>
      </c>
      <c r="H73" s="43">
        <f>SUMIFS('Journal Entries'!$L:$L,'Journal Entries'!$K:$K,$C73,'Journal Entries'!$C:$C,"&lt;="&amp;H$8,'Journal Entries'!$C:$C,"&gt;"&amp;G$8)</f>
        <v>0</v>
      </c>
      <c r="I73" s="43">
        <f>SUMIFS('Journal Entries'!$L:$L,'Journal Entries'!$K:$K,$C73,'Journal Entries'!$C:$C,"&lt;="&amp;I$8,'Journal Entries'!$C:$C,"&gt;"&amp;H$8)</f>
        <v>0</v>
      </c>
      <c r="J73" s="43">
        <f>SUMIFS('Journal Entries'!$L:$L,'Journal Entries'!$K:$K,$C73,'Journal Entries'!$C:$C,"&lt;="&amp;J$8,'Journal Entries'!$C:$C,"&gt;"&amp;I$8)</f>
        <v>0</v>
      </c>
      <c r="K73" s="43">
        <f>SUMIFS('Journal Entries'!$L:$L,'Journal Entries'!$K:$K,$C73,'Journal Entries'!$C:$C,"&lt;="&amp;K$8,'Journal Entries'!$C:$C,"&gt;"&amp;J$8)</f>
        <v>0</v>
      </c>
      <c r="L73" s="43">
        <f>SUMIFS('Journal Entries'!$L:$L,'Journal Entries'!$K:$K,$C73,'Journal Entries'!$C:$C,"&lt;="&amp;L$8,'Journal Entries'!$C:$C,"&gt;"&amp;K$8)</f>
        <v>0</v>
      </c>
      <c r="M73" s="43">
        <f>SUMIFS('Journal Entries'!$L:$L,'Journal Entries'!$K:$K,$C73,'Journal Entries'!$C:$C,"&lt;="&amp;M$8,'Journal Entries'!$C:$C,"&gt;"&amp;L$8)</f>
        <v>0</v>
      </c>
      <c r="N73" s="43">
        <f>SUMIFS('Journal Entries'!$L:$L,'Journal Entries'!$K:$K,$C73,'Journal Entries'!$C:$C,"&lt;="&amp;N$8,'Journal Entries'!$C:$C,"&gt;"&amp;M$8)</f>
        <v>0</v>
      </c>
      <c r="O73" s="43">
        <f>SUMIFS('Journal Entries'!$L:$L,'Journal Entries'!$K:$K,$C73,'Journal Entries'!$C:$C,"&lt;="&amp;O$8,'Journal Entries'!$C:$C,"&gt;"&amp;N$8)</f>
        <v>0</v>
      </c>
      <c r="P73" s="43">
        <f>SUMIFS('Journal Entries'!$L:$L,'Journal Entries'!$K:$K,$C73,'Journal Entries'!$C:$C,"&lt;="&amp;P$8,'Journal Entries'!$C:$C,"&gt;"&amp;O$8)</f>
        <v>0</v>
      </c>
      <c r="Q73" s="43">
        <f>SUMIFS('Journal Entries'!$L:$L,'Journal Entries'!$K:$K,$C73,'Journal Entries'!$C:$C,"&lt;="&amp;Q$8,'Journal Entries'!$C:$C,"&gt;"&amp;P$8)</f>
        <v>0</v>
      </c>
      <c r="R73" s="43">
        <f>SUMIFS('Journal Entries'!$L:$L,'Journal Entries'!$K:$K,$C73,'Journal Entries'!$C:$C,"&lt;="&amp;R$8,'Journal Entries'!$C:$C,"&gt;"&amp;Q$8)</f>
        <v>0</v>
      </c>
      <c r="S73" s="43">
        <f>SUMIFS('Journal Entries'!$L:$L,'Journal Entries'!$K:$K,$C73,'Journal Entries'!$C:$C,"&lt;="&amp;S$8,'Journal Entries'!$C:$C,"&gt;"&amp;R$8)</f>
        <v>0</v>
      </c>
      <c r="T73" s="43">
        <f>SUMIFS('Journal Entries'!$L:$L,'Journal Entries'!$K:$K,$C73,'Journal Entries'!$C:$C,"&lt;="&amp;T$8,'Journal Entries'!$C:$C,"&gt;"&amp;S$8)</f>
        <v>0</v>
      </c>
      <c r="U73" s="43">
        <f>SUMIFS('Journal Entries'!$L:$L,'Journal Entries'!$K:$K,$C73,'Journal Entries'!$C:$C,"&lt;="&amp;U$8,'Journal Entries'!$C:$C,"&gt;"&amp;T$8)</f>
        <v>0</v>
      </c>
      <c r="V73" s="43">
        <f>SUMIFS('Journal Entries'!$L:$L,'Journal Entries'!$K:$K,$C73,'Journal Entries'!$C:$C,"&lt;="&amp;V$8,'Journal Entries'!$C:$C,"&gt;"&amp;U$8)</f>
        <v>0</v>
      </c>
      <c r="W73" s="43">
        <f>SUMIFS('Journal Entries'!$L:$L,'Journal Entries'!$K:$K,$C73,'Journal Entries'!$C:$C,"&lt;="&amp;W$8,'Journal Entries'!$C:$C,"&gt;"&amp;V$8)</f>
        <v>0</v>
      </c>
      <c r="X73" s="43">
        <f>SUMIFS('Journal Entries'!$L:$L,'Journal Entries'!$K:$K,$C73,'Journal Entries'!$C:$C,"&lt;="&amp;X$8,'Journal Entries'!$C:$C,"&gt;"&amp;W$8)</f>
        <v>0</v>
      </c>
      <c r="Y73" s="43">
        <f>SUMIFS('Journal Entries'!$L:$L,'Journal Entries'!$K:$K,$C73,'Journal Entries'!$C:$C,"&lt;="&amp;Y$8,'Journal Entries'!$C:$C,"&gt;"&amp;X$8)</f>
        <v>0</v>
      </c>
      <c r="Z73" s="43">
        <f>SUMIFS('Journal Entries'!$L:$L,'Journal Entries'!$K:$K,$C73,'Journal Entries'!$C:$C,"&lt;="&amp;Z$8,'Journal Entries'!$C:$C,"&gt;"&amp;Y$8)</f>
        <v>0</v>
      </c>
      <c r="AA73" s="43">
        <f>SUMIFS('Journal Entries'!$L:$L,'Journal Entries'!$K:$K,$C73,'Journal Entries'!$C:$C,"&lt;="&amp;AA$8,'Journal Entries'!$C:$C,"&gt;"&amp;Z$8)</f>
        <v>0</v>
      </c>
      <c r="AB73" s="43">
        <f>SUMIFS('Journal Entries'!$L:$L,'Journal Entries'!$K:$K,$C73,'Journal Entries'!$C:$C,"&lt;="&amp;AB$8,'Journal Entries'!$C:$C,"&gt;"&amp;AA$8)</f>
        <v>0</v>
      </c>
      <c r="AC73" s="43">
        <f>SUMIFS('Journal Entries'!$L:$L,'Journal Entries'!$K:$K,$C73,'Journal Entries'!$C:$C,"&lt;="&amp;AC$8,'Journal Entries'!$C:$C,"&gt;"&amp;AB$8)</f>
        <v>0</v>
      </c>
      <c r="AD73" s="43">
        <f>SUMIFS('Journal Entries'!$L:$L,'Journal Entries'!$K:$K,$C73,'Journal Entries'!$C:$C,"&lt;="&amp;AD$8,'Journal Entries'!$C:$C,"&gt;"&amp;AC$8)</f>
        <v>0</v>
      </c>
      <c r="AE73" s="43">
        <f>SUMIFS('Journal Entries'!$L:$L,'Journal Entries'!$K:$K,$C73,'Journal Entries'!$C:$C,"&lt;="&amp;AE$8,'Journal Entries'!$C:$C,"&gt;"&amp;AD$8)</f>
        <v>0</v>
      </c>
      <c r="AF73" s="43">
        <f>SUMIFS('Journal Entries'!$L:$L,'Journal Entries'!$K:$K,$C73,'Journal Entries'!$C:$C,"&lt;="&amp;AF$8,'Journal Entries'!$C:$C,"&gt;"&amp;AE$8)</f>
        <v>0</v>
      </c>
      <c r="AG73" s="43">
        <f>SUMIFS('Journal Entries'!$L:$L,'Journal Entries'!$K:$K,$C73,'Journal Entries'!$C:$C,"&lt;="&amp;AG$8,'Journal Entries'!$C:$C,"&gt;"&amp;AF$8)</f>
        <v>0</v>
      </c>
      <c r="AH73" s="43">
        <f>SUMIFS('Journal Entries'!$L:$L,'Journal Entries'!$K:$K,$C73,'Journal Entries'!$C:$C,"&lt;="&amp;AH$8,'Journal Entries'!$C:$C,"&gt;"&amp;AG$8)</f>
        <v>0</v>
      </c>
      <c r="AI73" s="43">
        <f>SUMIFS('Journal Entries'!$L:$L,'Journal Entries'!$K:$K,$C73,'Journal Entries'!$C:$C,"&lt;="&amp;AI$8,'Journal Entries'!$C:$C,"&gt;"&amp;AH$8)</f>
        <v>0</v>
      </c>
      <c r="AJ73" s="43">
        <f>SUMIFS('Journal Entries'!$L:$L,'Journal Entries'!$K:$K,$C73,'Journal Entries'!$C:$C,"&lt;="&amp;AJ$8,'Journal Entries'!$C:$C,"&gt;"&amp;AI$8)</f>
        <v>0</v>
      </c>
      <c r="AK73" s="43">
        <f>SUMIFS('Journal Entries'!$L:$L,'Journal Entries'!$K:$K,$C73,'Journal Entries'!$C:$C,"&lt;="&amp;AK$8,'Journal Entries'!$C:$C,"&gt;"&amp;AJ$8)</f>
        <v>0</v>
      </c>
      <c r="AL73" s="43">
        <f>SUMIFS('Journal Entries'!$L:$L,'Journal Entries'!$K:$K,$C73,'Journal Entries'!$C:$C,"&lt;="&amp;AL$8,'Journal Entries'!$C:$C,"&gt;"&amp;AK$8)</f>
        <v>0</v>
      </c>
      <c r="AM73" s="43">
        <f>SUMIFS('Journal Entries'!$L:$L,'Journal Entries'!$K:$K,$C73,'Journal Entries'!$C:$C,"&lt;="&amp;AM$8,'Journal Entries'!$C:$C,"&gt;"&amp;AL$8)</f>
        <v>0</v>
      </c>
      <c r="AN73" s="43">
        <f>SUMIFS('Journal Entries'!$L:$L,'Journal Entries'!$K:$K,$C73,'Journal Entries'!$C:$C,"&lt;="&amp;AN$8,'Journal Entries'!$C:$C,"&gt;"&amp;AM$8)</f>
        <v>0</v>
      </c>
      <c r="AO73" s="43">
        <f>SUMIFS('Journal Entries'!$L:$L,'Journal Entries'!$K:$K,$C73,'Journal Entries'!$C:$C,"&lt;="&amp;AO$8,'Journal Entries'!$C:$C,"&gt;"&amp;AN$8)</f>
        <v>0</v>
      </c>
      <c r="AP73" s="43">
        <f>SUMIFS('Journal Entries'!$L:$L,'Journal Entries'!$K:$K,$C73,'Journal Entries'!$C:$C,"&lt;="&amp;AP$8,'Journal Entries'!$C:$C,"&gt;"&amp;AO$8)</f>
        <v>0</v>
      </c>
      <c r="AQ73" s="43">
        <f>SUMIFS('Journal Entries'!$L:$L,'Journal Entries'!$K:$K,$C73,'Journal Entries'!$C:$C,"&lt;="&amp;AQ$8,'Journal Entries'!$C:$C,"&gt;"&amp;AP$8)</f>
        <v>0</v>
      </c>
      <c r="AR73" s="43">
        <f>SUMIFS('Journal Entries'!$L:$L,'Journal Entries'!$K:$K,$C73,'Journal Entries'!$C:$C,"&lt;="&amp;AR$8,'Journal Entries'!$C:$C,"&gt;"&amp;AQ$8)</f>
        <v>0</v>
      </c>
      <c r="AS73" s="43">
        <f>SUMIFS('Journal Entries'!$L:$L,'Journal Entries'!$K:$K,$C73,'Journal Entries'!$C:$C,"&lt;="&amp;AS$8,'Journal Entries'!$C:$C,"&gt;"&amp;AR$8)</f>
        <v>0</v>
      </c>
      <c r="AT73" s="43">
        <f>SUMIFS('Journal Entries'!$L:$L,'Journal Entries'!$K:$K,$C73,'Journal Entries'!$C:$C,"&lt;="&amp;AT$8,'Journal Entries'!$C:$C,"&gt;"&amp;AS$8)</f>
        <v>0</v>
      </c>
      <c r="AU73" s="43">
        <f>SUMIFS('Journal Entries'!$L:$L,'Journal Entries'!$K:$K,$C73,'Journal Entries'!$C:$C,"&lt;="&amp;AU$8,'Journal Entries'!$C:$C,"&gt;"&amp;AT$8)</f>
        <v>0</v>
      </c>
      <c r="AV73" s="43">
        <f>SUMIFS('Journal Entries'!$L:$L,'Journal Entries'!$K:$K,$C73,'Journal Entries'!$C:$C,"&lt;="&amp;AV$8,'Journal Entries'!$C:$C,"&gt;"&amp;AU$8)</f>
        <v>0</v>
      </c>
      <c r="AW73" s="43">
        <f>SUMIFS('Journal Entries'!$L:$L,'Journal Entries'!$K:$K,$C73,'Journal Entries'!$C:$C,"&lt;="&amp;AW$8,'Journal Entries'!$C:$C,"&gt;"&amp;AV$8)</f>
        <v>0</v>
      </c>
      <c r="AX73" s="43">
        <f>SUMIFS('Journal Entries'!$L:$L,'Journal Entries'!$K:$K,$C73,'Journal Entries'!$C:$C,"&lt;="&amp;AX$8,'Journal Entries'!$C:$C,"&gt;"&amp;AW$8)</f>
        <v>0</v>
      </c>
      <c r="AY73" s="43">
        <f>SUMIFS('Journal Entries'!$L:$L,'Journal Entries'!$K:$K,$C73,'Journal Entries'!$C:$C,"&lt;="&amp;AY$8,'Journal Entries'!$C:$C,"&gt;"&amp;AX$8)</f>
        <v>0</v>
      </c>
      <c r="AZ73" s="43">
        <f>SUMIFS('Journal Entries'!$L:$L,'Journal Entries'!$K:$K,$C73,'Journal Entries'!$C:$C,"&lt;="&amp;AZ$8,'Journal Entries'!$C:$C,"&gt;"&amp;AY$8)</f>
        <v>0</v>
      </c>
      <c r="BA73" s="43">
        <f>SUMIFS('Journal Entries'!$L:$L,'Journal Entries'!$K:$K,$C73,'Journal Entries'!$C:$C,"&lt;="&amp;BA$8,'Journal Entries'!$C:$C,"&gt;"&amp;AZ$8)</f>
        <v>0</v>
      </c>
      <c r="BB73" s="43">
        <f>SUMIFS('Journal Entries'!$L:$L,'Journal Entries'!$K:$K,$C73,'Journal Entries'!$C:$C,"&lt;="&amp;BB$8,'Journal Entries'!$C:$C,"&gt;"&amp;BA$8)</f>
        <v>0</v>
      </c>
      <c r="BC73" s="43">
        <f>SUMIFS('Journal Entries'!$L:$L,'Journal Entries'!$K:$K,$C73,'Journal Entries'!$C:$C,"&lt;="&amp;BC$8,'Journal Entries'!$C:$C,"&gt;"&amp;BB$8)</f>
        <v>0</v>
      </c>
      <c r="BD73" s="43">
        <f>SUMIFS('Journal Entries'!$L:$L,'Journal Entries'!$K:$K,$C73,'Journal Entries'!$C:$C,"&lt;="&amp;BD$8,'Journal Entries'!$C:$C,"&gt;"&amp;BC$8)</f>
        <v>0</v>
      </c>
      <c r="BE73" s="43">
        <f>SUMIFS('Journal Entries'!$L:$L,'Journal Entries'!$K:$K,$C73,'Journal Entries'!$C:$C,"&lt;="&amp;BE$8,'Journal Entries'!$C:$C,"&gt;"&amp;BD$8)</f>
        <v>0</v>
      </c>
      <c r="BF73" s="43">
        <f>SUMIFS('Journal Entries'!$L:$L,'Journal Entries'!$K:$K,$C73,'Journal Entries'!$C:$C,"&lt;="&amp;BF$8,'Journal Entries'!$C:$C,"&gt;"&amp;BE$8)</f>
        <v>0</v>
      </c>
      <c r="BG73" s="43">
        <f>SUMIFS('Journal Entries'!$L:$L,'Journal Entries'!$K:$K,$C73,'Journal Entries'!$C:$C,"&lt;="&amp;BG$8,'Journal Entries'!$C:$C,"&gt;"&amp;BF$8)</f>
        <v>0</v>
      </c>
      <c r="BH73" s="43">
        <f>SUMIFS('Journal Entries'!$L:$L,'Journal Entries'!$K:$K,$C73,'Journal Entries'!$C:$C,"&lt;="&amp;BH$8,'Journal Entries'!$C:$C,"&gt;"&amp;BG$8)</f>
        <v>0</v>
      </c>
      <c r="BI73" s="43">
        <f>SUMIFS('Journal Entries'!$L:$L,'Journal Entries'!$K:$K,$C73,'Journal Entries'!$C:$C,"&lt;="&amp;BI$8,'Journal Entries'!$C:$C,"&gt;"&amp;BH$8)</f>
        <v>0</v>
      </c>
      <c r="BJ73" s="43">
        <f>SUMIFS('Journal Entries'!$L:$L,'Journal Entries'!$K:$K,$C73,'Journal Entries'!$C:$C,"&lt;="&amp;BJ$8,'Journal Entries'!$C:$C,"&gt;"&amp;BI$8)</f>
        <v>0</v>
      </c>
      <c r="BK73" s="43">
        <f>SUMIFS('Journal Entries'!$L:$L,'Journal Entries'!$K:$K,$C73,'Journal Entries'!$C:$C,"&lt;="&amp;BK$8,'Journal Entries'!$C:$C,"&gt;"&amp;BJ$8)</f>
        <v>0</v>
      </c>
      <c r="BL73" s="43">
        <f>SUMIFS('Journal Entries'!$L:$L,'Journal Entries'!$K:$K,$C73,'Journal Entries'!$C:$C,"&lt;="&amp;BL$8,'Journal Entries'!$C:$C,"&gt;"&amp;BK$8)</f>
        <v>0</v>
      </c>
    </row>
    <row r="74" spans="2:64" x14ac:dyDescent="0.25">
      <c r="B74" s="10">
        <v>5220</v>
      </c>
      <c r="C74" s="10" t="str">
        <f>VLOOKUP(B74,'Chart of Accounts'!$B$3:$C$95,2,0)</f>
        <v>Marketing and investor relations</v>
      </c>
      <c r="D74" s="525">
        <f t="shared" si="2"/>
        <v>0</v>
      </c>
      <c r="E74" s="43">
        <f>SUMIFS('Journal Entries'!$L:$L,'Journal Entries'!$K:$K,$C74,'Journal Entries'!$C:$C,"&lt;="&amp;E$8,'Journal Entries'!$C:$C,"&gt;"&amp;D$8)</f>
        <v>0</v>
      </c>
      <c r="F74" s="43">
        <f>SUMIFS('Journal Entries'!$L:$L,'Journal Entries'!$K:$K,$C74,'Journal Entries'!$C:$C,"&lt;="&amp;F$8,'Journal Entries'!$C:$C,"&gt;"&amp;E$8)</f>
        <v>0</v>
      </c>
      <c r="G74" s="43">
        <f>SUMIFS('Journal Entries'!$L:$L,'Journal Entries'!$K:$K,$C74,'Journal Entries'!$C:$C,"&lt;="&amp;G$8,'Journal Entries'!$C:$C,"&gt;"&amp;F$8)</f>
        <v>0</v>
      </c>
      <c r="H74" s="43">
        <f>SUMIFS('Journal Entries'!$L:$L,'Journal Entries'!$K:$K,$C74,'Journal Entries'!$C:$C,"&lt;="&amp;H$8,'Journal Entries'!$C:$C,"&gt;"&amp;G$8)</f>
        <v>0</v>
      </c>
      <c r="I74" s="43">
        <f>SUMIFS('Journal Entries'!$L:$L,'Journal Entries'!$K:$K,$C74,'Journal Entries'!$C:$C,"&lt;="&amp;I$8,'Journal Entries'!$C:$C,"&gt;"&amp;H$8)</f>
        <v>0</v>
      </c>
      <c r="J74" s="43">
        <f>SUMIFS('Journal Entries'!$L:$L,'Journal Entries'!$K:$K,$C74,'Journal Entries'!$C:$C,"&lt;="&amp;J$8,'Journal Entries'!$C:$C,"&gt;"&amp;I$8)</f>
        <v>0</v>
      </c>
      <c r="K74" s="43">
        <f>SUMIFS('Journal Entries'!$L:$L,'Journal Entries'!$K:$K,$C74,'Journal Entries'!$C:$C,"&lt;="&amp;K$8,'Journal Entries'!$C:$C,"&gt;"&amp;J$8)</f>
        <v>0</v>
      </c>
      <c r="L74" s="43">
        <f>SUMIFS('Journal Entries'!$L:$L,'Journal Entries'!$K:$K,$C74,'Journal Entries'!$C:$C,"&lt;="&amp;L$8,'Journal Entries'!$C:$C,"&gt;"&amp;K$8)</f>
        <v>0</v>
      </c>
      <c r="M74" s="43">
        <f>SUMIFS('Journal Entries'!$L:$L,'Journal Entries'!$K:$K,$C74,'Journal Entries'!$C:$C,"&lt;="&amp;M$8,'Journal Entries'!$C:$C,"&gt;"&amp;L$8)</f>
        <v>0</v>
      </c>
      <c r="N74" s="43">
        <f>SUMIFS('Journal Entries'!$L:$L,'Journal Entries'!$K:$K,$C74,'Journal Entries'!$C:$C,"&lt;="&amp;N$8,'Journal Entries'!$C:$C,"&gt;"&amp;M$8)</f>
        <v>0</v>
      </c>
      <c r="O74" s="43">
        <f>SUMIFS('Journal Entries'!$L:$L,'Journal Entries'!$K:$K,$C74,'Journal Entries'!$C:$C,"&lt;="&amp;O$8,'Journal Entries'!$C:$C,"&gt;"&amp;N$8)</f>
        <v>0</v>
      </c>
      <c r="P74" s="43">
        <f>SUMIFS('Journal Entries'!$L:$L,'Journal Entries'!$K:$K,$C74,'Journal Entries'!$C:$C,"&lt;="&amp;P$8,'Journal Entries'!$C:$C,"&gt;"&amp;O$8)</f>
        <v>0</v>
      </c>
      <c r="Q74" s="43">
        <f>SUMIFS('Journal Entries'!$L:$L,'Journal Entries'!$K:$K,$C74,'Journal Entries'!$C:$C,"&lt;="&amp;Q$8,'Journal Entries'!$C:$C,"&gt;"&amp;P$8)</f>
        <v>0</v>
      </c>
      <c r="R74" s="43">
        <f>SUMIFS('Journal Entries'!$L:$L,'Journal Entries'!$K:$K,$C74,'Journal Entries'!$C:$C,"&lt;="&amp;R$8,'Journal Entries'!$C:$C,"&gt;"&amp;Q$8)</f>
        <v>0</v>
      </c>
      <c r="S74" s="43">
        <f>SUMIFS('Journal Entries'!$L:$L,'Journal Entries'!$K:$K,$C74,'Journal Entries'!$C:$C,"&lt;="&amp;S$8,'Journal Entries'!$C:$C,"&gt;"&amp;R$8)</f>
        <v>0</v>
      </c>
      <c r="T74" s="43">
        <f>SUMIFS('Journal Entries'!$L:$L,'Journal Entries'!$K:$K,$C74,'Journal Entries'!$C:$C,"&lt;="&amp;T$8,'Journal Entries'!$C:$C,"&gt;"&amp;S$8)</f>
        <v>0</v>
      </c>
      <c r="U74" s="43">
        <f>SUMIFS('Journal Entries'!$L:$L,'Journal Entries'!$K:$K,$C74,'Journal Entries'!$C:$C,"&lt;="&amp;U$8,'Journal Entries'!$C:$C,"&gt;"&amp;T$8)</f>
        <v>0</v>
      </c>
      <c r="V74" s="43">
        <f>SUMIFS('Journal Entries'!$L:$L,'Journal Entries'!$K:$K,$C74,'Journal Entries'!$C:$C,"&lt;="&amp;V$8,'Journal Entries'!$C:$C,"&gt;"&amp;U$8)</f>
        <v>0</v>
      </c>
      <c r="W74" s="43">
        <f>SUMIFS('Journal Entries'!$L:$L,'Journal Entries'!$K:$K,$C74,'Journal Entries'!$C:$C,"&lt;="&amp;W$8,'Journal Entries'!$C:$C,"&gt;"&amp;V$8)</f>
        <v>0</v>
      </c>
      <c r="X74" s="43">
        <f>SUMIFS('Journal Entries'!$L:$L,'Journal Entries'!$K:$K,$C74,'Journal Entries'!$C:$C,"&lt;="&amp;X$8,'Journal Entries'!$C:$C,"&gt;"&amp;W$8)</f>
        <v>0</v>
      </c>
      <c r="Y74" s="43">
        <f>SUMIFS('Journal Entries'!$L:$L,'Journal Entries'!$K:$K,$C74,'Journal Entries'!$C:$C,"&lt;="&amp;Y$8,'Journal Entries'!$C:$C,"&gt;"&amp;X$8)</f>
        <v>0</v>
      </c>
      <c r="Z74" s="43">
        <f>SUMIFS('Journal Entries'!$L:$L,'Journal Entries'!$K:$K,$C74,'Journal Entries'!$C:$C,"&lt;="&amp;Z$8,'Journal Entries'!$C:$C,"&gt;"&amp;Y$8)</f>
        <v>0</v>
      </c>
      <c r="AA74" s="43">
        <f>SUMIFS('Journal Entries'!$L:$L,'Journal Entries'!$K:$K,$C74,'Journal Entries'!$C:$C,"&lt;="&amp;AA$8,'Journal Entries'!$C:$C,"&gt;"&amp;Z$8)</f>
        <v>0</v>
      </c>
      <c r="AB74" s="43">
        <f>SUMIFS('Journal Entries'!$L:$L,'Journal Entries'!$K:$K,$C74,'Journal Entries'!$C:$C,"&lt;="&amp;AB$8,'Journal Entries'!$C:$C,"&gt;"&amp;AA$8)</f>
        <v>0</v>
      </c>
      <c r="AC74" s="43">
        <f>SUMIFS('Journal Entries'!$L:$L,'Journal Entries'!$K:$K,$C74,'Journal Entries'!$C:$C,"&lt;="&amp;AC$8,'Journal Entries'!$C:$C,"&gt;"&amp;AB$8)</f>
        <v>0</v>
      </c>
      <c r="AD74" s="43">
        <f>SUMIFS('Journal Entries'!$L:$L,'Journal Entries'!$K:$K,$C74,'Journal Entries'!$C:$C,"&lt;="&amp;AD$8,'Journal Entries'!$C:$C,"&gt;"&amp;AC$8)</f>
        <v>0</v>
      </c>
      <c r="AE74" s="43">
        <f>SUMIFS('Journal Entries'!$L:$L,'Journal Entries'!$K:$K,$C74,'Journal Entries'!$C:$C,"&lt;="&amp;AE$8,'Journal Entries'!$C:$C,"&gt;"&amp;AD$8)</f>
        <v>0</v>
      </c>
      <c r="AF74" s="43">
        <f>SUMIFS('Journal Entries'!$L:$L,'Journal Entries'!$K:$K,$C74,'Journal Entries'!$C:$C,"&lt;="&amp;AF$8,'Journal Entries'!$C:$C,"&gt;"&amp;AE$8)</f>
        <v>0</v>
      </c>
      <c r="AG74" s="43">
        <f>SUMIFS('Journal Entries'!$L:$L,'Journal Entries'!$K:$K,$C74,'Journal Entries'!$C:$C,"&lt;="&amp;AG$8,'Journal Entries'!$C:$C,"&gt;"&amp;AF$8)</f>
        <v>0</v>
      </c>
      <c r="AH74" s="43">
        <f>SUMIFS('Journal Entries'!$L:$L,'Journal Entries'!$K:$K,$C74,'Journal Entries'!$C:$C,"&lt;="&amp;AH$8,'Journal Entries'!$C:$C,"&gt;"&amp;AG$8)</f>
        <v>0</v>
      </c>
      <c r="AI74" s="43">
        <f>SUMIFS('Journal Entries'!$L:$L,'Journal Entries'!$K:$K,$C74,'Journal Entries'!$C:$C,"&lt;="&amp;AI$8,'Journal Entries'!$C:$C,"&gt;"&amp;AH$8)</f>
        <v>0</v>
      </c>
      <c r="AJ74" s="43">
        <f>SUMIFS('Journal Entries'!$L:$L,'Journal Entries'!$K:$K,$C74,'Journal Entries'!$C:$C,"&lt;="&amp;AJ$8,'Journal Entries'!$C:$C,"&gt;"&amp;AI$8)</f>
        <v>0</v>
      </c>
      <c r="AK74" s="43">
        <f>SUMIFS('Journal Entries'!$L:$L,'Journal Entries'!$K:$K,$C74,'Journal Entries'!$C:$C,"&lt;="&amp;AK$8,'Journal Entries'!$C:$C,"&gt;"&amp;AJ$8)</f>
        <v>0</v>
      </c>
      <c r="AL74" s="43">
        <f>SUMIFS('Journal Entries'!$L:$L,'Journal Entries'!$K:$K,$C74,'Journal Entries'!$C:$C,"&lt;="&amp;AL$8,'Journal Entries'!$C:$C,"&gt;"&amp;AK$8)</f>
        <v>0</v>
      </c>
      <c r="AM74" s="43">
        <f>SUMIFS('Journal Entries'!$L:$L,'Journal Entries'!$K:$K,$C74,'Journal Entries'!$C:$C,"&lt;="&amp;AM$8,'Journal Entries'!$C:$C,"&gt;"&amp;AL$8)</f>
        <v>0</v>
      </c>
      <c r="AN74" s="43">
        <f>SUMIFS('Journal Entries'!$L:$L,'Journal Entries'!$K:$K,$C74,'Journal Entries'!$C:$C,"&lt;="&amp;AN$8,'Journal Entries'!$C:$C,"&gt;"&amp;AM$8)</f>
        <v>0</v>
      </c>
      <c r="AO74" s="43">
        <f>SUMIFS('Journal Entries'!$L:$L,'Journal Entries'!$K:$K,$C74,'Journal Entries'!$C:$C,"&lt;="&amp;AO$8,'Journal Entries'!$C:$C,"&gt;"&amp;AN$8)</f>
        <v>0</v>
      </c>
      <c r="AP74" s="43">
        <f>SUMIFS('Journal Entries'!$L:$L,'Journal Entries'!$K:$K,$C74,'Journal Entries'!$C:$C,"&lt;="&amp;AP$8,'Journal Entries'!$C:$C,"&gt;"&amp;AO$8)</f>
        <v>0</v>
      </c>
      <c r="AQ74" s="43">
        <f>SUMIFS('Journal Entries'!$L:$L,'Journal Entries'!$K:$K,$C74,'Journal Entries'!$C:$C,"&lt;="&amp;AQ$8,'Journal Entries'!$C:$C,"&gt;"&amp;AP$8)</f>
        <v>0</v>
      </c>
      <c r="AR74" s="43">
        <f>SUMIFS('Journal Entries'!$L:$L,'Journal Entries'!$K:$K,$C74,'Journal Entries'!$C:$C,"&lt;="&amp;AR$8,'Journal Entries'!$C:$C,"&gt;"&amp;AQ$8)</f>
        <v>0</v>
      </c>
      <c r="AS74" s="43">
        <f>SUMIFS('Journal Entries'!$L:$L,'Journal Entries'!$K:$K,$C74,'Journal Entries'!$C:$C,"&lt;="&amp;AS$8,'Journal Entries'!$C:$C,"&gt;"&amp;AR$8)</f>
        <v>0</v>
      </c>
      <c r="AT74" s="43">
        <f>SUMIFS('Journal Entries'!$L:$L,'Journal Entries'!$K:$K,$C74,'Journal Entries'!$C:$C,"&lt;="&amp;AT$8,'Journal Entries'!$C:$C,"&gt;"&amp;AS$8)</f>
        <v>0</v>
      </c>
      <c r="AU74" s="43">
        <f>SUMIFS('Journal Entries'!$L:$L,'Journal Entries'!$K:$K,$C74,'Journal Entries'!$C:$C,"&lt;="&amp;AU$8,'Journal Entries'!$C:$C,"&gt;"&amp;AT$8)</f>
        <v>0</v>
      </c>
      <c r="AV74" s="43">
        <f>SUMIFS('Journal Entries'!$L:$L,'Journal Entries'!$K:$K,$C74,'Journal Entries'!$C:$C,"&lt;="&amp;AV$8,'Journal Entries'!$C:$C,"&gt;"&amp;AU$8)</f>
        <v>0</v>
      </c>
      <c r="AW74" s="43">
        <f>SUMIFS('Journal Entries'!$L:$L,'Journal Entries'!$K:$K,$C74,'Journal Entries'!$C:$C,"&lt;="&amp;AW$8,'Journal Entries'!$C:$C,"&gt;"&amp;AV$8)</f>
        <v>0</v>
      </c>
      <c r="AX74" s="43">
        <f>SUMIFS('Journal Entries'!$L:$L,'Journal Entries'!$K:$K,$C74,'Journal Entries'!$C:$C,"&lt;="&amp;AX$8,'Journal Entries'!$C:$C,"&gt;"&amp;AW$8)</f>
        <v>0</v>
      </c>
      <c r="AY74" s="43">
        <f>SUMIFS('Journal Entries'!$L:$L,'Journal Entries'!$K:$K,$C74,'Journal Entries'!$C:$C,"&lt;="&amp;AY$8,'Journal Entries'!$C:$C,"&gt;"&amp;AX$8)</f>
        <v>0</v>
      </c>
      <c r="AZ74" s="43">
        <f>SUMIFS('Journal Entries'!$L:$L,'Journal Entries'!$K:$K,$C74,'Journal Entries'!$C:$C,"&lt;="&amp;AZ$8,'Journal Entries'!$C:$C,"&gt;"&amp;AY$8)</f>
        <v>0</v>
      </c>
      <c r="BA74" s="43">
        <f>SUMIFS('Journal Entries'!$L:$L,'Journal Entries'!$K:$K,$C74,'Journal Entries'!$C:$C,"&lt;="&amp;BA$8,'Journal Entries'!$C:$C,"&gt;"&amp;AZ$8)</f>
        <v>0</v>
      </c>
      <c r="BB74" s="43">
        <f>SUMIFS('Journal Entries'!$L:$L,'Journal Entries'!$K:$K,$C74,'Journal Entries'!$C:$C,"&lt;="&amp;BB$8,'Journal Entries'!$C:$C,"&gt;"&amp;BA$8)</f>
        <v>0</v>
      </c>
      <c r="BC74" s="43">
        <f>SUMIFS('Journal Entries'!$L:$L,'Journal Entries'!$K:$K,$C74,'Journal Entries'!$C:$C,"&lt;="&amp;BC$8,'Journal Entries'!$C:$C,"&gt;"&amp;BB$8)</f>
        <v>0</v>
      </c>
      <c r="BD74" s="43">
        <f>SUMIFS('Journal Entries'!$L:$L,'Journal Entries'!$K:$K,$C74,'Journal Entries'!$C:$C,"&lt;="&amp;BD$8,'Journal Entries'!$C:$C,"&gt;"&amp;BC$8)</f>
        <v>0</v>
      </c>
      <c r="BE74" s="43">
        <f>SUMIFS('Journal Entries'!$L:$L,'Journal Entries'!$K:$K,$C74,'Journal Entries'!$C:$C,"&lt;="&amp;BE$8,'Journal Entries'!$C:$C,"&gt;"&amp;BD$8)</f>
        <v>0</v>
      </c>
      <c r="BF74" s="43">
        <f>SUMIFS('Journal Entries'!$L:$L,'Journal Entries'!$K:$K,$C74,'Journal Entries'!$C:$C,"&lt;="&amp;BF$8,'Journal Entries'!$C:$C,"&gt;"&amp;BE$8)</f>
        <v>0</v>
      </c>
      <c r="BG74" s="43">
        <f>SUMIFS('Journal Entries'!$L:$L,'Journal Entries'!$K:$K,$C74,'Journal Entries'!$C:$C,"&lt;="&amp;BG$8,'Journal Entries'!$C:$C,"&gt;"&amp;BF$8)</f>
        <v>0</v>
      </c>
      <c r="BH74" s="43">
        <f>SUMIFS('Journal Entries'!$L:$L,'Journal Entries'!$K:$K,$C74,'Journal Entries'!$C:$C,"&lt;="&amp;BH$8,'Journal Entries'!$C:$C,"&gt;"&amp;BG$8)</f>
        <v>0</v>
      </c>
      <c r="BI74" s="43">
        <f>SUMIFS('Journal Entries'!$L:$L,'Journal Entries'!$K:$K,$C74,'Journal Entries'!$C:$C,"&lt;="&amp;BI$8,'Journal Entries'!$C:$C,"&gt;"&amp;BH$8)</f>
        <v>0</v>
      </c>
      <c r="BJ74" s="43">
        <f>SUMIFS('Journal Entries'!$L:$L,'Journal Entries'!$K:$K,$C74,'Journal Entries'!$C:$C,"&lt;="&amp;BJ$8,'Journal Entries'!$C:$C,"&gt;"&amp;BI$8)</f>
        <v>0</v>
      </c>
      <c r="BK74" s="43">
        <f>SUMIFS('Journal Entries'!$L:$L,'Journal Entries'!$K:$K,$C74,'Journal Entries'!$C:$C,"&lt;="&amp;BK$8,'Journal Entries'!$C:$C,"&gt;"&amp;BJ$8)</f>
        <v>0</v>
      </c>
      <c r="BL74" s="43">
        <f>SUMIFS('Journal Entries'!$L:$L,'Journal Entries'!$K:$K,$C74,'Journal Entries'!$C:$C,"&lt;="&amp;BL$8,'Journal Entries'!$C:$C,"&gt;"&amp;BK$8)</f>
        <v>0</v>
      </c>
    </row>
    <row r="75" spans="2:64" x14ac:dyDescent="0.25">
      <c r="B75" s="10">
        <v>5230</v>
      </c>
      <c r="C75" s="10" t="str">
        <f>VLOOKUP(B75,'Chart of Accounts'!$B$3:$C$95,2,0)</f>
        <v>Other expenses</v>
      </c>
      <c r="D75" s="525">
        <f t="shared" ref="D75:D81" si="3">SUM(E75:P75)</f>
        <v>0</v>
      </c>
      <c r="E75" s="43">
        <f>SUMIFS('Journal Entries'!$L:$L,'Journal Entries'!$K:$K,$C75,'Journal Entries'!$C:$C,"&lt;="&amp;E$8,'Journal Entries'!$C:$C,"&gt;"&amp;D$8)</f>
        <v>0</v>
      </c>
      <c r="F75" s="43">
        <f>SUMIFS('Journal Entries'!$L:$L,'Journal Entries'!$K:$K,$C75,'Journal Entries'!$C:$C,"&lt;="&amp;F$8,'Journal Entries'!$C:$C,"&gt;"&amp;E$8)</f>
        <v>0</v>
      </c>
      <c r="G75" s="43">
        <f>SUMIFS('Journal Entries'!$L:$L,'Journal Entries'!$K:$K,$C75,'Journal Entries'!$C:$C,"&lt;="&amp;G$8,'Journal Entries'!$C:$C,"&gt;"&amp;F$8)</f>
        <v>0</v>
      </c>
      <c r="H75" s="43">
        <f>SUMIFS('Journal Entries'!$L:$L,'Journal Entries'!$K:$K,$C75,'Journal Entries'!$C:$C,"&lt;="&amp;H$8,'Journal Entries'!$C:$C,"&gt;"&amp;G$8)</f>
        <v>0</v>
      </c>
      <c r="I75" s="43">
        <f>SUMIFS('Journal Entries'!$L:$L,'Journal Entries'!$K:$K,$C75,'Journal Entries'!$C:$C,"&lt;="&amp;I$8,'Journal Entries'!$C:$C,"&gt;"&amp;H$8)</f>
        <v>0</v>
      </c>
      <c r="J75" s="43">
        <f>SUMIFS('Journal Entries'!$L:$L,'Journal Entries'!$K:$K,$C75,'Journal Entries'!$C:$C,"&lt;="&amp;J$8,'Journal Entries'!$C:$C,"&gt;"&amp;I$8)</f>
        <v>0</v>
      </c>
      <c r="K75" s="43">
        <f>SUMIFS('Journal Entries'!$L:$L,'Journal Entries'!$K:$K,$C75,'Journal Entries'!$C:$C,"&lt;="&amp;K$8,'Journal Entries'!$C:$C,"&gt;"&amp;J$8)</f>
        <v>0</v>
      </c>
      <c r="L75" s="43">
        <f>SUMIFS('Journal Entries'!$L:$L,'Journal Entries'!$K:$K,$C75,'Journal Entries'!$C:$C,"&lt;="&amp;L$8,'Journal Entries'!$C:$C,"&gt;"&amp;K$8)</f>
        <v>0</v>
      </c>
      <c r="M75" s="43">
        <f>SUMIFS('Journal Entries'!$L:$L,'Journal Entries'!$K:$K,$C75,'Journal Entries'!$C:$C,"&lt;="&amp;M$8,'Journal Entries'!$C:$C,"&gt;"&amp;L$8)</f>
        <v>0</v>
      </c>
      <c r="N75" s="43">
        <f>SUMIFS('Journal Entries'!$L:$L,'Journal Entries'!$K:$K,$C75,'Journal Entries'!$C:$C,"&lt;="&amp;N$8,'Journal Entries'!$C:$C,"&gt;"&amp;M$8)</f>
        <v>0</v>
      </c>
      <c r="O75" s="43">
        <f>SUMIFS('Journal Entries'!$L:$L,'Journal Entries'!$K:$K,$C75,'Journal Entries'!$C:$C,"&lt;="&amp;O$8,'Journal Entries'!$C:$C,"&gt;"&amp;N$8)</f>
        <v>0</v>
      </c>
      <c r="P75" s="43">
        <f>SUMIFS('Journal Entries'!$L:$L,'Journal Entries'!$K:$K,$C75,'Journal Entries'!$C:$C,"&lt;="&amp;P$8,'Journal Entries'!$C:$C,"&gt;"&amp;O$8)</f>
        <v>0</v>
      </c>
      <c r="Q75" s="43">
        <f>SUMIFS('Journal Entries'!$L:$L,'Journal Entries'!$K:$K,$C75,'Journal Entries'!$C:$C,"&lt;="&amp;Q$8,'Journal Entries'!$C:$C,"&gt;"&amp;P$8)</f>
        <v>0</v>
      </c>
      <c r="R75" s="43">
        <f>SUMIFS('Journal Entries'!$L:$L,'Journal Entries'!$K:$K,$C75,'Journal Entries'!$C:$C,"&lt;="&amp;R$8,'Journal Entries'!$C:$C,"&gt;"&amp;Q$8)</f>
        <v>0</v>
      </c>
      <c r="S75" s="43">
        <f>SUMIFS('Journal Entries'!$L:$L,'Journal Entries'!$K:$K,$C75,'Journal Entries'!$C:$C,"&lt;="&amp;S$8,'Journal Entries'!$C:$C,"&gt;"&amp;R$8)</f>
        <v>0</v>
      </c>
      <c r="T75" s="43">
        <f>SUMIFS('Journal Entries'!$L:$L,'Journal Entries'!$K:$K,$C75,'Journal Entries'!$C:$C,"&lt;="&amp;T$8,'Journal Entries'!$C:$C,"&gt;"&amp;S$8)</f>
        <v>0</v>
      </c>
      <c r="U75" s="43">
        <f>SUMIFS('Journal Entries'!$L:$L,'Journal Entries'!$K:$K,$C75,'Journal Entries'!$C:$C,"&lt;="&amp;U$8,'Journal Entries'!$C:$C,"&gt;"&amp;T$8)</f>
        <v>0</v>
      </c>
      <c r="V75" s="43">
        <f>SUMIFS('Journal Entries'!$L:$L,'Journal Entries'!$K:$K,$C75,'Journal Entries'!$C:$C,"&lt;="&amp;V$8,'Journal Entries'!$C:$C,"&gt;"&amp;U$8)</f>
        <v>0</v>
      </c>
      <c r="W75" s="43">
        <f>SUMIFS('Journal Entries'!$L:$L,'Journal Entries'!$K:$K,$C75,'Journal Entries'!$C:$C,"&lt;="&amp;W$8,'Journal Entries'!$C:$C,"&gt;"&amp;V$8)</f>
        <v>0</v>
      </c>
      <c r="X75" s="43">
        <f>SUMIFS('Journal Entries'!$L:$L,'Journal Entries'!$K:$K,$C75,'Journal Entries'!$C:$C,"&lt;="&amp;X$8,'Journal Entries'!$C:$C,"&gt;"&amp;W$8)</f>
        <v>0</v>
      </c>
      <c r="Y75" s="43">
        <f>SUMIFS('Journal Entries'!$L:$L,'Journal Entries'!$K:$K,$C75,'Journal Entries'!$C:$C,"&lt;="&amp;Y$8,'Journal Entries'!$C:$C,"&gt;"&amp;X$8)</f>
        <v>0</v>
      </c>
      <c r="Z75" s="43">
        <f>SUMIFS('Journal Entries'!$L:$L,'Journal Entries'!$K:$K,$C75,'Journal Entries'!$C:$C,"&lt;="&amp;Z$8,'Journal Entries'!$C:$C,"&gt;"&amp;Y$8)</f>
        <v>0</v>
      </c>
      <c r="AA75" s="43">
        <f>SUMIFS('Journal Entries'!$L:$L,'Journal Entries'!$K:$K,$C75,'Journal Entries'!$C:$C,"&lt;="&amp;AA$8,'Journal Entries'!$C:$C,"&gt;"&amp;Z$8)</f>
        <v>0</v>
      </c>
      <c r="AB75" s="43">
        <f>SUMIFS('Journal Entries'!$L:$L,'Journal Entries'!$K:$K,$C75,'Journal Entries'!$C:$C,"&lt;="&amp;AB$8,'Journal Entries'!$C:$C,"&gt;"&amp;AA$8)</f>
        <v>0</v>
      </c>
      <c r="AC75" s="43">
        <f>SUMIFS('Journal Entries'!$L:$L,'Journal Entries'!$K:$K,$C75,'Journal Entries'!$C:$C,"&lt;="&amp;AC$8,'Journal Entries'!$C:$C,"&gt;"&amp;AB$8)</f>
        <v>0</v>
      </c>
      <c r="AD75" s="43">
        <f>SUMIFS('Journal Entries'!$L:$L,'Journal Entries'!$K:$K,$C75,'Journal Entries'!$C:$C,"&lt;="&amp;AD$8,'Journal Entries'!$C:$C,"&gt;"&amp;AC$8)</f>
        <v>0</v>
      </c>
      <c r="AE75" s="43">
        <f>SUMIFS('Journal Entries'!$L:$L,'Journal Entries'!$K:$K,$C75,'Journal Entries'!$C:$C,"&lt;="&amp;AE$8,'Journal Entries'!$C:$C,"&gt;"&amp;AD$8)</f>
        <v>0</v>
      </c>
      <c r="AF75" s="43">
        <f>SUMIFS('Journal Entries'!$L:$L,'Journal Entries'!$K:$K,$C75,'Journal Entries'!$C:$C,"&lt;="&amp;AF$8,'Journal Entries'!$C:$C,"&gt;"&amp;AE$8)</f>
        <v>0</v>
      </c>
      <c r="AG75" s="43">
        <f>SUMIFS('Journal Entries'!$L:$L,'Journal Entries'!$K:$K,$C75,'Journal Entries'!$C:$C,"&lt;="&amp;AG$8,'Journal Entries'!$C:$C,"&gt;"&amp;AF$8)</f>
        <v>0</v>
      </c>
      <c r="AH75" s="43">
        <f>SUMIFS('Journal Entries'!$L:$L,'Journal Entries'!$K:$K,$C75,'Journal Entries'!$C:$C,"&lt;="&amp;AH$8,'Journal Entries'!$C:$C,"&gt;"&amp;AG$8)</f>
        <v>0</v>
      </c>
      <c r="AI75" s="43">
        <f>SUMIFS('Journal Entries'!$L:$L,'Journal Entries'!$K:$K,$C75,'Journal Entries'!$C:$C,"&lt;="&amp;AI$8,'Journal Entries'!$C:$C,"&gt;"&amp;AH$8)</f>
        <v>0</v>
      </c>
      <c r="AJ75" s="43">
        <f>SUMIFS('Journal Entries'!$L:$L,'Journal Entries'!$K:$K,$C75,'Journal Entries'!$C:$C,"&lt;="&amp;AJ$8,'Journal Entries'!$C:$C,"&gt;"&amp;AI$8)</f>
        <v>0</v>
      </c>
      <c r="AK75" s="43">
        <f>SUMIFS('Journal Entries'!$L:$L,'Journal Entries'!$K:$K,$C75,'Journal Entries'!$C:$C,"&lt;="&amp;AK$8,'Journal Entries'!$C:$C,"&gt;"&amp;AJ$8)</f>
        <v>0</v>
      </c>
      <c r="AL75" s="43">
        <f>SUMIFS('Journal Entries'!$L:$L,'Journal Entries'!$K:$K,$C75,'Journal Entries'!$C:$C,"&lt;="&amp;AL$8,'Journal Entries'!$C:$C,"&gt;"&amp;AK$8)</f>
        <v>0</v>
      </c>
      <c r="AM75" s="43">
        <f>SUMIFS('Journal Entries'!$L:$L,'Journal Entries'!$K:$K,$C75,'Journal Entries'!$C:$C,"&lt;="&amp;AM$8,'Journal Entries'!$C:$C,"&gt;"&amp;AL$8)</f>
        <v>0</v>
      </c>
      <c r="AN75" s="43">
        <f>SUMIFS('Journal Entries'!$L:$L,'Journal Entries'!$K:$K,$C75,'Journal Entries'!$C:$C,"&lt;="&amp;AN$8,'Journal Entries'!$C:$C,"&gt;"&amp;AM$8)</f>
        <v>0</v>
      </c>
      <c r="AO75" s="43">
        <f>SUMIFS('Journal Entries'!$L:$L,'Journal Entries'!$K:$K,$C75,'Journal Entries'!$C:$C,"&lt;="&amp;AO$8,'Journal Entries'!$C:$C,"&gt;"&amp;AN$8)</f>
        <v>0</v>
      </c>
      <c r="AP75" s="43">
        <f>SUMIFS('Journal Entries'!$L:$L,'Journal Entries'!$K:$K,$C75,'Journal Entries'!$C:$C,"&lt;="&amp;AP$8,'Journal Entries'!$C:$C,"&gt;"&amp;AO$8)</f>
        <v>0</v>
      </c>
      <c r="AQ75" s="43">
        <f>SUMIFS('Journal Entries'!$L:$L,'Journal Entries'!$K:$K,$C75,'Journal Entries'!$C:$C,"&lt;="&amp;AQ$8,'Journal Entries'!$C:$C,"&gt;"&amp;AP$8)</f>
        <v>0</v>
      </c>
      <c r="AR75" s="43">
        <f>SUMIFS('Journal Entries'!$L:$L,'Journal Entries'!$K:$K,$C75,'Journal Entries'!$C:$C,"&lt;="&amp;AR$8,'Journal Entries'!$C:$C,"&gt;"&amp;AQ$8)</f>
        <v>0</v>
      </c>
      <c r="AS75" s="43">
        <f>SUMIFS('Journal Entries'!$L:$L,'Journal Entries'!$K:$K,$C75,'Journal Entries'!$C:$C,"&lt;="&amp;AS$8,'Journal Entries'!$C:$C,"&gt;"&amp;AR$8)</f>
        <v>0</v>
      </c>
      <c r="AT75" s="43">
        <f>SUMIFS('Journal Entries'!$L:$L,'Journal Entries'!$K:$K,$C75,'Journal Entries'!$C:$C,"&lt;="&amp;AT$8,'Journal Entries'!$C:$C,"&gt;"&amp;AS$8)</f>
        <v>0</v>
      </c>
      <c r="AU75" s="43">
        <f>SUMIFS('Journal Entries'!$L:$L,'Journal Entries'!$K:$K,$C75,'Journal Entries'!$C:$C,"&lt;="&amp;AU$8,'Journal Entries'!$C:$C,"&gt;"&amp;AT$8)</f>
        <v>0</v>
      </c>
      <c r="AV75" s="43">
        <f>SUMIFS('Journal Entries'!$L:$L,'Journal Entries'!$K:$K,$C75,'Journal Entries'!$C:$C,"&lt;="&amp;AV$8,'Journal Entries'!$C:$C,"&gt;"&amp;AU$8)</f>
        <v>0</v>
      </c>
      <c r="AW75" s="43">
        <f>SUMIFS('Journal Entries'!$L:$L,'Journal Entries'!$K:$K,$C75,'Journal Entries'!$C:$C,"&lt;="&amp;AW$8,'Journal Entries'!$C:$C,"&gt;"&amp;AV$8)</f>
        <v>0</v>
      </c>
      <c r="AX75" s="43">
        <f>SUMIFS('Journal Entries'!$L:$L,'Journal Entries'!$K:$K,$C75,'Journal Entries'!$C:$C,"&lt;="&amp;AX$8,'Journal Entries'!$C:$C,"&gt;"&amp;AW$8)</f>
        <v>0</v>
      </c>
      <c r="AY75" s="43">
        <f>SUMIFS('Journal Entries'!$L:$L,'Journal Entries'!$K:$K,$C75,'Journal Entries'!$C:$C,"&lt;="&amp;AY$8,'Journal Entries'!$C:$C,"&gt;"&amp;AX$8)</f>
        <v>0</v>
      </c>
      <c r="AZ75" s="43">
        <f>SUMIFS('Journal Entries'!$L:$L,'Journal Entries'!$K:$K,$C75,'Journal Entries'!$C:$C,"&lt;="&amp;AZ$8,'Journal Entries'!$C:$C,"&gt;"&amp;AY$8)</f>
        <v>0</v>
      </c>
      <c r="BA75" s="43">
        <f>SUMIFS('Journal Entries'!$L:$L,'Journal Entries'!$K:$K,$C75,'Journal Entries'!$C:$C,"&lt;="&amp;BA$8,'Journal Entries'!$C:$C,"&gt;"&amp;AZ$8)</f>
        <v>0</v>
      </c>
      <c r="BB75" s="43">
        <f>SUMIFS('Journal Entries'!$L:$L,'Journal Entries'!$K:$K,$C75,'Journal Entries'!$C:$C,"&lt;="&amp;BB$8,'Journal Entries'!$C:$C,"&gt;"&amp;BA$8)</f>
        <v>0</v>
      </c>
      <c r="BC75" s="43">
        <f>SUMIFS('Journal Entries'!$L:$L,'Journal Entries'!$K:$K,$C75,'Journal Entries'!$C:$C,"&lt;="&amp;BC$8,'Journal Entries'!$C:$C,"&gt;"&amp;BB$8)</f>
        <v>0</v>
      </c>
      <c r="BD75" s="43">
        <f>SUMIFS('Journal Entries'!$L:$L,'Journal Entries'!$K:$K,$C75,'Journal Entries'!$C:$C,"&lt;="&amp;BD$8,'Journal Entries'!$C:$C,"&gt;"&amp;BC$8)</f>
        <v>0</v>
      </c>
      <c r="BE75" s="43">
        <f>SUMIFS('Journal Entries'!$L:$L,'Journal Entries'!$K:$K,$C75,'Journal Entries'!$C:$C,"&lt;="&amp;BE$8,'Journal Entries'!$C:$C,"&gt;"&amp;BD$8)</f>
        <v>0</v>
      </c>
      <c r="BF75" s="43">
        <f>SUMIFS('Journal Entries'!$L:$L,'Journal Entries'!$K:$K,$C75,'Journal Entries'!$C:$C,"&lt;="&amp;BF$8,'Journal Entries'!$C:$C,"&gt;"&amp;BE$8)</f>
        <v>0</v>
      </c>
      <c r="BG75" s="43">
        <f>SUMIFS('Journal Entries'!$L:$L,'Journal Entries'!$K:$K,$C75,'Journal Entries'!$C:$C,"&lt;="&amp;BG$8,'Journal Entries'!$C:$C,"&gt;"&amp;BF$8)</f>
        <v>0</v>
      </c>
      <c r="BH75" s="43">
        <f>SUMIFS('Journal Entries'!$L:$L,'Journal Entries'!$K:$K,$C75,'Journal Entries'!$C:$C,"&lt;="&amp;BH$8,'Journal Entries'!$C:$C,"&gt;"&amp;BG$8)</f>
        <v>0</v>
      </c>
      <c r="BI75" s="43">
        <f>SUMIFS('Journal Entries'!$L:$L,'Journal Entries'!$K:$K,$C75,'Journal Entries'!$C:$C,"&lt;="&amp;BI$8,'Journal Entries'!$C:$C,"&gt;"&amp;BH$8)</f>
        <v>0</v>
      </c>
      <c r="BJ75" s="43">
        <f>SUMIFS('Journal Entries'!$L:$L,'Journal Entries'!$K:$K,$C75,'Journal Entries'!$C:$C,"&lt;="&amp;BJ$8,'Journal Entries'!$C:$C,"&gt;"&amp;BI$8)</f>
        <v>0</v>
      </c>
      <c r="BK75" s="43">
        <f>SUMIFS('Journal Entries'!$L:$L,'Journal Entries'!$K:$K,$C75,'Journal Entries'!$C:$C,"&lt;="&amp;BK$8,'Journal Entries'!$C:$C,"&gt;"&amp;BJ$8)</f>
        <v>0</v>
      </c>
      <c r="BL75" s="43">
        <f>SUMIFS('Journal Entries'!$L:$L,'Journal Entries'!$K:$K,$C75,'Journal Entries'!$C:$C,"&lt;="&amp;BL$8,'Journal Entries'!$C:$C,"&gt;"&amp;BK$8)</f>
        <v>0</v>
      </c>
    </row>
    <row r="76" spans="2:64" x14ac:dyDescent="0.25">
      <c r="B76" s="10">
        <v>8000</v>
      </c>
      <c r="C76" s="10" t="str">
        <f>VLOOKUP(B76,'Chart of Accounts'!$B$3:$C$95,2,0)</f>
        <v>Organizational costs</v>
      </c>
      <c r="D76" s="525">
        <f t="shared" si="3"/>
        <v>0</v>
      </c>
      <c r="E76" s="43">
        <f>SUMIFS('Journal Entries'!$L:$L,'Journal Entries'!$K:$K,$C76,'Journal Entries'!$C:$C,"&lt;="&amp;E$8,'Journal Entries'!$C:$C,"&gt;"&amp;D$8)</f>
        <v>0</v>
      </c>
      <c r="F76" s="43">
        <f>SUMIFS('Journal Entries'!$L:$L,'Journal Entries'!$K:$K,$C76,'Journal Entries'!$C:$C,"&lt;="&amp;F$8,'Journal Entries'!$C:$C,"&gt;"&amp;E$8)</f>
        <v>0</v>
      </c>
      <c r="G76" s="43">
        <f>SUMIFS('Journal Entries'!$L:$L,'Journal Entries'!$K:$K,$C76,'Journal Entries'!$C:$C,"&lt;="&amp;G$8,'Journal Entries'!$C:$C,"&gt;"&amp;F$8)</f>
        <v>0</v>
      </c>
      <c r="H76" s="43">
        <f>SUMIFS('Journal Entries'!$L:$L,'Journal Entries'!$K:$K,$C76,'Journal Entries'!$C:$C,"&lt;="&amp;H$8,'Journal Entries'!$C:$C,"&gt;"&amp;G$8)</f>
        <v>0</v>
      </c>
      <c r="I76" s="43">
        <f>SUMIFS('Journal Entries'!$L:$L,'Journal Entries'!$K:$K,$C76,'Journal Entries'!$C:$C,"&lt;="&amp;I$8,'Journal Entries'!$C:$C,"&gt;"&amp;H$8)</f>
        <v>0</v>
      </c>
      <c r="J76" s="43">
        <f>SUMIFS('Journal Entries'!$L:$L,'Journal Entries'!$K:$K,$C76,'Journal Entries'!$C:$C,"&lt;="&amp;J$8,'Journal Entries'!$C:$C,"&gt;"&amp;I$8)</f>
        <v>0</v>
      </c>
      <c r="K76" s="43">
        <f>SUMIFS('Journal Entries'!$L:$L,'Journal Entries'!$K:$K,$C76,'Journal Entries'!$C:$C,"&lt;="&amp;K$8,'Journal Entries'!$C:$C,"&gt;"&amp;J$8)</f>
        <v>0</v>
      </c>
      <c r="L76" s="43">
        <f>SUMIFS('Journal Entries'!$L:$L,'Journal Entries'!$K:$K,$C76,'Journal Entries'!$C:$C,"&lt;="&amp;L$8,'Journal Entries'!$C:$C,"&gt;"&amp;K$8)</f>
        <v>0</v>
      </c>
      <c r="M76" s="43">
        <f>SUMIFS('Journal Entries'!$L:$L,'Journal Entries'!$K:$K,$C76,'Journal Entries'!$C:$C,"&lt;="&amp;M$8,'Journal Entries'!$C:$C,"&gt;"&amp;L$8)</f>
        <v>0</v>
      </c>
      <c r="N76" s="43">
        <f>SUMIFS('Journal Entries'!$L:$L,'Journal Entries'!$K:$K,$C76,'Journal Entries'!$C:$C,"&lt;="&amp;N$8,'Journal Entries'!$C:$C,"&gt;"&amp;M$8)</f>
        <v>0</v>
      </c>
      <c r="O76" s="43">
        <f>SUMIFS('Journal Entries'!$L:$L,'Journal Entries'!$K:$K,$C76,'Journal Entries'!$C:$C,"&lt;="&amp;O$8,'Journal Entries'!$C:$C,"&gt;"&amp;N$8)</f>
        <v>0</v>
      </c>
      <c r="P76" s="43">
        <f>SUMIFS('Journal Entries'!$L:$L,'Journal Entries'!$K:$K,$C76,'Journal Entries'!$C:$C,"&lt;="&amp;P$8,'Journal Entries'!$C:$C,"&gt;"&amp;O$8)</f>
        <v>0</v>
      </c>
      <c r="Q76" s="43">
        <f>SUMIFS('Journal Entries'!$L:$L,'Journal Entries'!$K:$K,$C76,'Journal Entries'!$C:$C,"&lt;="&amp;Q$8,'Journal Entries'!$C:$C,"&gt;"&amp;P$8)</f>
        <v>0</v>
      </c>
      <c r="R76" s="43">
        <f>SUMIFS('Journal Entries'!$L:$L,'Journal Entries'!$K:$K,$C76,'Journal Entries'!$C:$C,"&lt;="&amp;R$8,'Journal Entries'!$C:$C,"&gt;"&amp;Q$8)</f>
        <v>0</v>
      </c>
      <c r="S76" s="43">
        <f>SUMIFS('Journal Entries'!$L:$L,'Journal Entries'!$K:$K,$C76,'Journal Entries'!$C:$C,"&lt;="&amp;S$8,'Journal Entries'!$C:$C,"&gt;"&amp;R$8)</f>
        <v>0</v>
      </c>
      <c r="T76" s="43">
        <f>SUMIFS('Journal Entries'!$L:$L,'Journal Entries'!$K:$K,$C76,'Journal Entries'!$C:$C,"&lt;="&amp;T$8,'Journal Entries'!$C:$C,"&gt;"&amp;S$8)</f>
        <v>0</v>
      </c>
      <c r="U76" s="43">
        <f>SUMIFS('Journal Entries'!$L:$L,'Journal Entries'!$K:$K,$C76,'Journal Entries'!$C:$C,"&lt;="&amp;U$8,'Journal Entries'!$C:$C,"&gt;"&amp;T$8)</f>
        <v>0</v>
      </c>
      <c r="V76" s="43">
        <f>SUMIFS('Journal Entries'!$L:$L,'Journal Entries'!$K:$K,$C76,'Journal Entries'!$C:$C,"&lt;="&amp;V$8,'Journal Entries'!$C:$C,"&gt;"&amp;U$8)</f>
        <v>0</v>
      </c>
      <c r="W76" s="43">
        <f>SUMIFS('Journal Entries'!$L:$L,'Journal Entries'!$K:$K,$C76,'Journal Entries'!$C:$C,"&lt;="&amp;W$8,'Journal Entries'!$C:$C,"&gt;"&amp;V$8)</f>
        <v>0</v>
      </c>
      <c r="X76" s="43">
        <f>SUMIFS('Journal Entries'!$L:$L,'Journal Entries'!$K:$K,$C76,'Journal Entries'!$C:$C,"&lt;="&amp;X$8,'Journal Entries'!$C:$C,"&gt;"&amp;W$8)</f>
        <v>0</v>
      </c>
      <c r="Y76" s="43">
        <f>SUMIFS('Journal Entries'!$L:$L,'Journal Entries'!$K:$K,$C76,'Journal Entries'!$C:$C,"&lt;="&amp;Y$8,'Journal Entries'!$C:$C,"&gt;"&amp;X$8)</f>
        <v>0</v>
      </c>
      <c r="Z76" s="43">
        <f>SUMIFS('Journal Entries'!$L:$L,'Journal Entries'!$K:$K,$C76,'Journal Entries'!$C:$C,"&lt;="&amp;Z$8,'Journal Entries'!$C:$C,"&gt;"&amp;Y$8)</f>
        <v>0</v>
      </c>
      <c r="AA76" s="43">
        <f>SUMIFS('Journal Entries'!$L:$L,'Journal Entries'!$K:$K,$C76,'Journal Entries'!$C:$C,"&lt;="&amp;AA$8,'Journal Entries'!$C:$C,"&gt;"&amp;Z$8)</f>
        <v>0</v>
      </c>
      <c r="AB76" s="43">
        <f>SUMIFS('Journal Entries'!$L:$L,'Journal Entries'!$K:$K,$C76,'Journal Entries'!$C:$C,"&lt;="&amp;AB$8,'Journal Entries'!$C:$C,"&gt;"&amp;AA$8)</f>
        <v>0</v>
      </c>
      <c r="AC76" s="43">
        <f>SUMIFS('Journal Entries'!$L:$L,'Journal Entries'!$K:$K,$C76,'Journal Entries'!$C:$C,"&lt;="&amp;AC$8,'Journal Entries'!$C:$C,"&gt;"&amp;AB$8)</f>
        <v>0</v>
      </c>
      <c r="AD76" s="43">
        <f>SUMIFS('Journal Entries'!$L:$L,'Journal Entries'!$K:$K,$C76,'Journal Entries'!$C:$C,"&lt;="&amp;AD$8,'Journal Entries'!$C:$C,"&gt;"&amp;AC$8)</f>
        <v>0</v>
      </c>
      <c r="AE76" s="43">
        <f>SUMIFS('Journal Entries'!$L:$L,'Journal Entries'!$K:$K,$C76,'Journal Entries'!$C:$C,"&lt;="&amp;AE$8,'Journal Entries'!$C:$C,"&gt;"&amp;AD$8)</f>
        <v>0</v>
      </c>
      <c r="AF76" s="43">
        <f>SUMIFS('Journal Entries'!$L:$L,'Journal Entries'!$K:$K,$C76,'Journal Entries'!$C:$C,"&lt;="&amp;AF$8,'Journal Entries'!$C:$C,"&gt;"&amp;AE$8)</f>
        <v>0</v>
      </c>
      <c r="AG76" s="43">
        <f>SUMIFS('Journal Entries'!$L:$L,'Journal Entries'!$K:$K,$C76,'Journal Entries'!$C:$C,"&lt;="&amp;AG$8,'Journal Entries'!$C:$C,"&gt;"&amp;AF$8)</f>
        <v>0</v>
      </c>
      <c r="AH76" s="43">
        <f>SUMIFS('Journal Entries'!$L:$L,'Journal Entries'!$K:$K,$C76,'Journal Entries'!$C:$C,"&lt;="&amp;AH$8,'Journal Entries'!$C:$C,"&gt;"&amp;AG$8)</f>
        <v>0</v>
      </c>
      <c r="AI76" s="43">
        <f>SUMIFS('Journal Entries'!$L:$L,'Journal Entries'!$K:$K,$C76,'Journal Entries'!$C:$C,"&lt;="&amp;AI$8,'Journal Entries'!$C:$C,"&gt;"&amp;AH$8)</f>
        <v>0</v>
      </c>
      <c r="AJ76" s="43">
        <f>SUMIFS('Journal Entries'!$L:$L,'Journal Entries'!$K:$K,$C76,'Journal Entries'!$C:$C,"&lt;="&amp;AJ$8,'Journal Entries'!$C:$C,"&gt;"&amp;AI$8)</f>
        <v>0</v>
      </c>
      <c r="AK76" s="43">
        <f>SUMIFS('Journal Entries'!$L:$L,'Journal Entries'!$K:$K,$C76,'Journal Entries'!$C:$C,"&lt;="&amp;AK$8,'Journal Entries'!$C:$C,"&gt;"&amp;AJ$8)</f>
        <v>0</v>
      </c>
      <c r="AL76" s="43">
        <f>SUMIFS('Journal Entries'!$L:$L,'Journal Entries'!$K:$K,$C76,'Journal Entries'!$C:$C,"&lt;="&amp;AL$8,'Journal Entries'!$C:$C,"&gt;"&amp;AK$8)</f>
        <v>0</v>
      </c>
      <c r="AM76" s="43">
        <f>SUMIFS('Journal Entries'!$L:$L,'Journal Entries'!$K:$K,$C76,'Journal Entries'!$C:$C,"&lt;="&amp;AM$8,'Journal Entries'!$C:$C,"&gt;"&amp;AL$8)</f>
        <v>0</v>
      </c>
      <c r="AN76" s="43">
        <f>SUMIFS('Journal Entries'!$L:$L,'Journal Entries'!$K:$K,$C76,'Journal Entries'!$C:$C,"&lt;="&amp;AN$8,'Journal Entries'!$C:$C,"&gt;"&amp;AM$8)</f>
        <v>0</v>
      </c>
      <c r="AO76" s="43">
        <f>SUMIFS('Journal Entries'!$L:$L,'Journal Entries'!$K:$K,$C76,'Journal Entries'!$C:$C,"&lt;="&amp;AO$8,'Journal Entries'!$C:$C,"&gt;"&amp;AN$8)</f>
        <v>0</v>
      </c>
      <c r="AP76" s="43">
        <f>SUMIFS('Journal Entries'!$L:$L,'Journal Entries'!$K:$K,$C76,'Journal Entries'!$C:$C,"&lt;="&amp;AP$8,'Journal Entries'!$C:$C,"&gt;"&amp;AO$8)</f>
        <v>0</v>
      </c>
      <c r="AQ76" s="43">
        <f>SUMIFS('Journal Entries'!$L:$L,'Journal Entries'!$K:$K,$C76,'Journal Entries'!$C:$C,"&lt;="&amp;AQ$8,'Journal Entries'!$C:$C,"&gt;"&amp;AP$8)</f>
        <v>0</v>
      </c>
      <c r="AR76" s="43">
        <f>SUMIFS('Journal Entries'!$L:$L,'Journal Entries'!$K:$K,$C76,'Journal Entries'!$C:$C,"&lt;="&amp;AR$8,'Journal Entries'!$C:$C,"&gt;"&amp;AQ$8)</f>
        <v>0</v>
      </c>
      <c r="AS76" s="43">
        <f>SUMIFS('Journal Entries'!$L:$L,'Journal Entries'!$K:$K,$C76,'Journal Entries'!$C:$C,"&lt;="&amp;AS$8,'Journal Entries'!$C:$C,"&gt;"&amp;AR$8)</f>
        <v>0</v>
      </c>
      <c r="AT76" s="43">
        <f>SUMIFS('Journal Entries'!$L:$L,'Journal Entries'!$K:$K,$C76,'Journal Entries'!$C:$C,"&lt;="&amp;AT$8,'Journal Entries'!$C:$C,"&gt;"&amp;AS$8)</f>
        <v>0</v>
      </c>
      <c r="AU76" s="43">
        <f>SUMIFS('Journal Entries'!$L:$L,'Journal Entries'!$K:$K,$C76,'Journal Entries'!$C:$C,"&lt;="&amp;AU$8,'Journal Entries'!$C:$C,"&gt;"&amp;AT$8)</f>
        <v>0</v>
      </c>
      <c r="AV76" s="43">
        <f>SUMIFS('Journal Entries'!$L:$L,'Journal Entries'!$K:$K,$C76,'Journal Entries'!$C:$C,"&lt;="&amp;AV$8,'Journal Entries'!$C:$C,"&gt;"&amp;AU$8)</f>
        <v>0</v>
      </c>
      <c r="AW76" s="43">
        <f>SUMIFS('Journal Entries'!$L:$L,'Journal Entries'!$K:$K,$C76,'Journal Entries'!$C:$C,"&lt;="&amp;AW$8,'Journal Entries'!$C:$C,"&gt;"&amp;AV$8)</f>
        <v>0</v>
      </c>
      <c r="AX76" s="43">
        <f>SUMIFS('Journal Entries'!$L:$L,'Journal Entries'!$K:$K,$C76,'Journal Entries'!$C:$C,"&lt;="&amp;AX$8,'Journal Entries'!$C:$C,"&gt;"&amp;AW$8)</f>
        <v>0</v>
      </c>
      <c r="AY76" s="43">
        <f>SUMIFS('Journal Entries'!$L:$L,'Journal Entries'!$K:$K,$C76,'Journal Entries'!$C:$C,"&lt;="&amp;AY$8,'Journal Entries'!$C:$C,"&gt;"&amp;AX$8)</f>
        <v>0</v>
      </c>
      <c r="AZ76" s="43">
        <f>SUMIFS('Journal Entries'!$L:$L,'Journal Entries'!$K:$K,$C76,'Journal Entries'!$C:$C,"&lt;="&amp;AZ$8,'Journal Entries'!$C:$C,"&gt;"&amp;AY$8)</f>
        <v>0</v>
      </c>
      <c r="BA76" s="43">
        <f>SUMIFS('Journal Entries'!$L:$L,'Journal Entries'!$K:$K,$C76,'Journal Entries'!$C:$C,"&lt;="&amp;BA$8,'Journal Entries'!$C:$C,"&gt;"&amp;AZ$8)</f>
        <v>0</v>
      </c>
      <c r="BB76" s="43">
        <f>SUMIFS('Journal Entries'!$L:$L,'Journal Entries'!$K:$K,$C76,'Journal Entries'!$C:$C,"&lt;="&amp;BB$8,'Journal Entries'!$C:$C,"&gt;"&amp;BA$8)</f>
        <v>0</v>
      </c>
      <c r="BC76" s="43">
        <f>SUMIFS('Journal Entries'!$L:$L,'Journal Entries'!$K:$K,$C76,'Journal Entries'!$C:$C,"&lt;="&amp;BC$8,'Journal Entries'!$C:$C,"&gt;"&amp;BB$8)</f>
        <v>0</v>
      </c>
      <c r="BD76" s="43">
        <f>SUMIFS('Journal Entries'!$L:$L,'Journal Entries'!$K:$K,$C76,'Journal Entries'!$C:$C,"&lt;="&amp;BD$8,'Journal Entries'!$C:$C,"&gt;"&amp;BC$8)</f>
        <v>0</v>
      </c>
      <c r="BE76" s="43">
        <f>SUMIFS('Journal Entries'!$L:$L,'Journal Entries'!$K:$K,$C76,'Journal Entries'!$C:$C,"&lt;="&amp;BE$8,'Journal Entries'!$C:$C,"&gt;"&amp;BD$8)</f>
        <v>0</v>
      </c>
      <c r="BF76" s="43">
        <f>SUMIFS('Journal Entries'!$L:$L,'Journal Entries'!$K:$K,$C76,'Journal Entries'!$C:$C,"&lt;="&amp;BF$8,'Journal Entries'!$C:$C,"&gt;"&amp;BE$8)</f>
        <v>0</v>
      </c>
      <c r="BG76" s="43">
        <f>SUMIFS('Journal Entries'!$L:$L,'Journal Entries'!$K:$K,$C76,'Journal Entries'!$C:$C,"&lt;="&amp;BG$8,'Journal Entries'!$C:$C,"&gt;"&amp;BF$8)</f>
        <v>0</v>
      </c>
      <c r="BH76" s="43">
        <f>SUMIFS('Journal Entries'!$L:$L,'Journal Entries'!$K:$K,$C76,'Journal Entries'!$C:$C,"&lt;="&amp;BH$8,'Journal Entries'!$C:$C,"&gt;"&amp;BG$8)</f>
        <v>0</v>
      </c>
      <c r="BI76" s="43">
        <f>SUMIFS('Journal Entries'!$L:$L,'Journal Entries'!$K:$K,$C76,'Journal Entries'!$C:$C,"&lt;="&amp;BI$8,'Journal Entries'!$C:$C,"&gt;"&amp;BH$8)</f>
        <v>0</v>
      </c>
      <c r="BJ76" s="43">
        <f>SUMIFS('Journal Entries'!$L:$L,'Journal Entries'!$K:$K,$C76,'Journal Entries'!$C:$C,"&lt;="&amp;BJ$8,'Journal Entries'!$C:$C,"&gt;"&amp;BI$8)</f>
        <v>0</v>
      </c>
      <c r="BK76" s="43">
        <f>SUMIFS('Journal Entries'!$L:$L,'Journal Entries'!$K:$K,$C76,'Journal Entries'!$C:$C,"&lt;="&amp;BK$8,'Journal Entries'!$C:$C,"&gt;"&amp;BJ$8)</f>
        <v>0</v>
      </c>
      <c r="BL76" s="43">
        <f>SUMIFS('Journal Entries'!$L:$L,'Journal Entries'!$K:$K,$C76,'Journal Entries'!$C:$C,"&lt;="&amp;BL$8,'Journal Entries'!$C:$C,"&gt;"&amp;BK$8)</f>
        <v>0</v>
      </c>
    </row>
    <row r="77" spans="2:64" x14ac:dyDescent="0.25">
      <c r="B77" s="10">
        <v>8010</v>
      </c>
      <c r="C77" s="10" t="str">
        <f>VLOOKUP(B77,'Chart of Accounts'!$B$3:$C$95,2,0)</f>
        <v>Offering expenses</v>
      </c>
      <c r="D77" s="525">
        <f t="shared" si="3"/>
        <v>0</v>
      </c>
      <c r="E77" s="43">
        <f>SUMIFS('Journal Entries'!$L:$L,'Journal Entries'!$K:$K,$C77,'Journal Entries'!$C:$C,"&lt;="&amp;E$8,'Journal Entries'!$C:$C,"&gt;"&amp;D$8)</f>
        <v>0</v>
      </c>
      <c r="F77" s="43">
        <f>SUMIFS('Journal Entries'!$L:$L,'Journal Entries'!$K:$K,$C77,'Journal Entries'!$C:$C,"&lt;="&amp;F$8,'Journal Entries'!$C:$C,"&gt;"&amp;E$8)</f>
        <v>0</v>
      </c>
      <c r="G77" s="43">
        <f>SUMIFS('Journal Entries'!$L:$L,'Journal Entries'!$K:$K,$C77,'Journal Entries'!$C:$C,"&lt;="&amp;G$8,'Journal Entries'!$C:$C,"&gt;"&amp;F$8)</f>
        <v>0</v>
      </c>
      <c r="H77" s="43">
        <f>SUMIFS('Journal Entries'!$L:$L,'Journal Entries'!$K:$K,$C77,'Journal Entries'!$C:$C,"&lt;="&amp;H$8,'Journal Entries'!$C:$C,"&gt;"&amp;G$8)</f>
        <v>0</v>
      </c>
      <c r="I77" s="43">
        <f>SUMIFS('Journal Entries'!$L:$L,'Journal Entries'!$K:$K,$C77,'Journal Entries'!$C:$C,"&lt;="&amp;I$8,'Journal Entries'!$C:$C,"&gt;"&amp;H$8)</f>
        <v>0</v>
      </c>
      <c r="J77" s="43">
        <f>SUMIFS('Journal Entries'!$L:$L,'Journal Entries'!$K:$K,$C77,'Journal Entries'!$C:$C,"&lt;="&amp;J$8,'Journal Entries'!$C:$C,"&gt;"&amp;I$8)</f>
        <v>0</v>
      </c>
      <c r="K77" s="43">
        <f>SUMIFS('Journal Entries'!$L:$L,'Journal Entries'!$K:$K,$C77,'Journal Entries'!$C:$C,"&lt;="&amp;K$8,'Journal Entries'!$C:$C,"&gt;"&amp;J$8)</f>
        <v>0</v>
      </c>
      <c r="L77" s="43">
        <f>SUMIFS('Journal Entries'!$L:$L,'Journal Entries'!$K:$K,$C77,'Journal Entries'!$C:$C,"&lt;="&amp;L$8,'Journal Entries'!$C:$C,"&gt;"&amp;K$8)</f>
        <v>0</v>
      </c>
      <c r="M77" s="43">
        <f>SUMIFS('Journal Entries'!$L:$L,'Journal Entries'!$K:$K,$C77,'Journal Entries'!$C:$C,"&lt;="&amp;M$8,'Journal Entries'!$C:$C,"&gt;"&amp;L$8)</f>
        <v>0</v>
      </c>
      <c r="N77" s="43">
        <f>SUMIFS('Journal Entries'!$L:$L,'Journal Entries'!$K:$K,$C77,'Journal Entries'!$C:$C,"&lt;="&amp;N$8,'Journal Entries'!$C:$C,"&gt;"&amp;M$8)</f>
        <v>0</v>
      </c>
      <c r="O77" s="43">
        <f>SUMIFS('Journal Entries'!$L:$L,'Journal Entries'!$K:$K,$C77,'Journal Entries'!$C:$C,"&lt;="&amp;O$8,'Journal Entries'!$C:$C,"&gt;"&amp;N$8)</f>
        <v>0</v>
      </c>
      <c r="P77" s="43">
        <f>SUMIFS('Journal Entries'!$L:$L,'Journal Entries'!$K:$K,$C77,'Journal Entries'!$C:$C,"&lt;="&amp;P$8,'Journal Entries'!$C:$C,"&gt;"&amp;O$8)</f>
        <v>0</v>
      </c>
      <c r="Q77" s="43">
        <f>SUMIFS('Journal Entries'!$L:$L,'Journal Entries'!$K:$K,$C77,'Journal Entries'!$C:$C,"&lt;="&amp;Q$8,'Journal Entries'!$C:$C,"&gt;"&amp;P$8)</f>
        <v>0</v>
      </c>
      <c r="R77" s="43">
        <f>SUMIFS('Journal Entries'!$L:$L,'Journal Entries'!$K:$K,$C77,'Journal Entries'!$C:$C,"&lt;="&amp;R$8,'Journal Entries'!$C:$C,"&gt;"&amp;Q$8)</f>
        <v>0</v>
      </c>
      <c r="S77" s="43">
        <f>SUMIFS('Journal Entries'!$L:$L,'Journal Entries'!$K:$K,$C77,'Journal Entries'!$C:$C,"&lt;="&amp;S$8,'Journal Entries'!$C:$C,"&gt;"&amp;R$8)</f>
        <v>0</v>
      </c>
      <c r="T77" s="43">
        <f>SUMIFS('Journal Entries'!$L:$L,'Journal Entries'!$K:$K,$C77,'Journal Entries'!$C:$C,"&lt;="&amp;T$8,'Journal Entries'!$C:$C,"&gt;"&amp;S$8)</f>
        <v>0</v>
      </c>
      <c r="U77" s="43">
        <f>SUMIFS('Journal Entries'!$L:$L,'Journal Entries'!$K:$K,$C77,'Journal Entries'!$C:$C,"&lt;="&amp;U$8,'Journal Entries'!$C:$C,"&gt;"&amp;T$8)</f>
        <v>0</v>
      </c>
      <c r="V77" s="43">
        <f>SUMIFS('Journal Entries'!$L:$L,'Journal Entries'!$K:$K,$C77,'Journal Entries'!$C:$C,"&lt;="&amp;V$8,'Journal Entries'!$C:$C,"&gt;"&amp;U$8)</f>
        <v>0</v>
      </c>
      <c r="W77" s="43">
        <f>SUMIFS('Journal Entries'!$L:$L,'Journal Entries'!$K:$K,$C77,'Journal Entries'!$C:$C,"&lt;="&amp;W$8,'Journal Entries'!$C:$C,"&gt;"&amp;V$8)</f>
        <v>0</v>
      </c>
      <c r="X77" s="43">
        <f>SUMIFS('Journal Entries'!$L:$L,'Journal Entries'!$K:$K,$C77,'Journal Entries'!$C:$C,"&lt;="&amp;X$8,'Journal Entries'!$C:$C,"&gt;"&amp;W$8)</f>
        <v>0</v>
      </c>
      <c r="Y77" s="43">
        <f>SUMIFS('Journal Entries'!$L:$L,'Journal Entries'!$K:$K,$C77,'Journal Entries'!$C:$C,"&lt;="&amp;Y$8,'Journal Entries'!$C:$C,"&gt;"&amp;X$8)</f>
        <v>0</v>
      </c>
      <c r="Z77" s="43">
        <f>SUMIFS('Journal Entries'!$L:$L,'Journal Entries'!$K:$K,$C77,'Journal Entries'!$C:$C,"&lt;="&amp;Z$8,'Journal Entries'!$C:$C,"&gt;"&amp;Y$8)</f>
        <v>0</v>
      </c>
      <c r="AA77" s="43">
        <f>SUMIFS('Journal Entries'!$L:$L,'Journal Entries'!$K:$K,$C77,'Journal Entries'!$C:$C,"&lt;="&amp;AA$8,'Journal Entries'!$C:$C,"&gt;"&amp;Z$8)</f>
        <v>0</v>
      </c>
      <c r="AB77" s="43">
        <f>SUMIFS('Journal Entries'!$L:$L,'Journal Entries'!$K:$K,$C77,'Journal Entries'!$C:$C,"&lt;="&amp;AB$8,'Journal Entries'!$C:$C,"&gt;"&amp;AA$8)</f>
        <v>0</v>
      </c>
      <c r="AC77" s="43">
        <f>SUMIFS('Journal Entries'!$L:$L,'Journal Entries'!$K:$K,$C77,'Journal Entries'!$C:$C,"&lt;="&amp;AC$8,'Journal Entries'!$C:$C,"&gt;"&amp;AB$8)</f>
        <v>0</v>
      </c>
      <c r="AD77" s="43">
        <f>SUMIFS('Journal Entries'!$L:$L,'Journal Entries'!$K:$K,$C77,'Journal Entries'!$C:$C,"&lt;="&amp;AD$8,'Journal Entries'!$C:$C,"&gt;"&amp;AC$8)</f>
        <v>0</v>
      </c>
      <c r="AE77" s="43">
        <f>SUMIFS('Journal Entries'!$L:$L,'Journal Entries'!$K:$K,$C77,'Journal Entries'!$C:$C,"&lt;="&amp;AE$8,'Journal Entries'!$C:$C,"&gt;"&amp;AD$8)</f>
        <v>0</v>
      </c>
      <c r="AF77" s="43">
        <f>SUMIFS('Journal Entries'!$L:$L,'Journal Entries'!$K:$K,$C77,'Journal Entries'!$C:$C,"&lt;="&amp;AF$8,'Journal Entries'!$C:$C,"&gt;"&amp;AE$8)</f>
        <v>0</v>
      </c>
      <c r="AG77" s="43">
        <f>SUMIFS('Journal Entries'!$L:$L,'Journal Entries'!$K:$K,$C77,'Journal Entries'!$C:$C,"&lt;="&amp;AG$8,'Journal Entries'!$C:$C,"&gt;"&amp;AF$8)</f>
        <v>0</v>
      </c>
      <c r="AH77" s="43">
        <f>SUMIFS('Journal Entries'!$L:$L,'Journal Entries'!$K:$K,$C77,'Journal Entries'!$C:$C,"&lt;="&amp;AH$8,'Journal Entries'!$C:$C,"&gt;"&amp;AG$8)</f>
        <v>0</v>
      </c>
      <c r="AI77" s="43">
        <f>SUMIFS('Journal Entries'!$L:$L,'Journal Entries'!$K:$K,$C77,'Journal Entries'!$C:$C,"&lt;="&amp;AI$8,'Journal Entries'!$C:$C,"&gt;"&amp;AH$8)</f>
        <v>0</v>
      </c>
      <c r="AJ77" s="43">
        <f>SUMIFS('Journal Entries'!$L:$L,'Journal Entries'!$K:$K,$C77,'Journal Entries'!$C:$C,"&lt;="&amp;AJ$8,'Journal Entries'!$C:$C,"&gt;"&amp;AI$8)</f>
        <v>0</v>
      </c>
      <c r="AK77" s="43">
        <f>SUMIFS('Journal Entries'!$L:$L,'Journal Entries'!$K:$K,$C77,'Journal Entries'!$C:$C,"&lt;="&amp;AK$8,'Journal Entries'!$C:$C,"&gt;"&amp;AJ$8)</f>
        <v>0</v>
      </c>
      <c r="AL77" s="43">
        <f>SUMIFS('Journal Entries'!$L:$L,'Journal Entries'!$K:$K,$C77,'Journal Entries'!$C:$C,"&lt;="&amp;AL$8,'Journal Entries'!$C:$C,"&gt;"&amp;AK$8)</f>
        <v>0</v>
      </c>
      <c r="AM77" s="43">
        <f>SUMIFS('Journal Entries'!$L:$L,'Journal Entries'!$K:$K,$C77,'Journal Entries'!$C:$C,"&lt;="&amp;AM$8,'Journal Entries'!$C:$C,"&gt;"&amp;AL$8)</f>
        <v>0</v>
      </c>
      <c r="AN77" s="43">
        <f>SUMIFS('Journal Entries'!$L:$L,'Journal Entries'!$K:$K,$C77,'Journal Entries'!$C:$C,"&lt;="&amp;AN$8,'Journal Entries'!$C:$C,"&gt;"&amp;AM$8)</f>
        <v>0</v>
      </c>
      <c r="AO77" s="43">
        <f>SUMIFS('Journal Entries'!$L:$L,'Journal Entries'!$K:$K,$C77,'Journal Entries'!$C:$C,"&lt;="&amp;AO$8,'Journal Entries'!$C:$C,"&gt;"&amp;AN$8)</f>
        <v>0</v>
      </c>
      <c r="AP77" s="43">
        <f>SUMIFS('Journal Entries'!$L:$L,'Journal Entries'!$K:$K,$C77,'Journal Entries'!$C:$C,"&lt;="&amp;AP$8,'Journal Entries'!$C:$C,"&gt;"&amp;AO$8)</f>
        <v>0</v>
      </c>
      <c r="AQ77" s="43">
        <f>SUMIFS('Journal Entries'!$L:$L,'Journal Entries'!$K:$K,$C77,'Journal Entries'!$C:$C,"&lt;="&amp;AQ$8,'Journal Entries'!$C:$C,"&gt;"&amp;AP$8)</f>
        <v>0</v>
      </c>
      <c r="AR77" s="43">
        <f>SUMIFS('Journal Entries'!$L:$L,'Journal Entries'!$K:$K,$C77,'Journal Entries'!$C:$C,"&lt;="&amp;AR$8,'Journal Entries'!$C:$C,"&gt;"&amp;AQ$8)</f>
        <v>0</v>
      </c>
      <c r="AS77" s="43">
        <f>SUMIFS('Journal Entries'!$L:$L,'Journal Entries'!$K:$K,$C77,'Journal Entries'!$C:$C,"&lt;="&amp;AS$8,'Journal Entries'!$C:$C,"&gt;"&amp;AR$8)</f>
        <v>0</v>
      </c>
      <c r="AT77" s="43">
        <f>SUMIFS('Journal Entries'!$L:$L,'Journal Entries'!$K:$K,$C77,'Journal Entries'!$C:$C,"&lt;="&amp;AT$8,'Journal Entries'!$C:$C,"&gt;"&amp;AS$8)</f>
        <v>0</v>
      </c>
      <c r="AU77" s="43">
        <f>SUMIFS('Journal Entries'!$L:$L,'Journal Entries'!$K:$K,$C77,'Journal Entries'!$C:$C,"&lt;="&amp;AU$8,'Journal Entries'!$C:$C,"&gt;"&amp;AT$8)</f>
        <v>0</v>
      </c>
      <c r="AV77" s="43">
        <f>SUMIFS('Journal Entries'!$L:$L,'Journal Entries'!$K:$K,$C77,'Journal Entries'!$C:$C,"&lt;="&amp;AV$8,'Journal Entries'!$C:$C,"&gt;"&amp;AU$8)</f>
        <v>0</v>
      </c>
      <c r="AW77" s="43">
        <f>SUMIFS('Journal Entries'!$L:$L,'Journal Entries'!$K:$K,$C77,'Journal Entries'!$C:$C,"&lt;="&amp;AW$8,'Journal Entries'!$C:$C,"&gt;"&amp;AV$8)</f>
        <v>0</v>
      </c>
      <c r="AX77" s="43">
        <f>SUMIFS('Journal Entries'!$L:$L,'Journal Entries'!$K:$K,$C77,'Journal Entries'!$C:$C,"&lt;="&amp;AX$8,'Journal Entries'!$C:$C,"&gt;"&amp;AW$8)</f>
        <v>0</v>
      </c>
      <c r="AY77" s="43">
        <f>SUMIFS('Journal Entries'!$L:$L,'Journal Entries'!$K:$K,$C77,'Journal Entries'!$C:$C,"&lt;="&amp;AY$8,'Journal Entries'!$C:$C,"&gt;"&amp;AX$8)</f>
        <v>0</v>
      </c>
      <c r="AZ77" s="43">
        <f>SUMIFS('Journal Entries'!$L:$L,'Journal Entries'!$K:$K,$C77,'Journal Entries'!$C:$C,"&lt;="&amp;AZ$8,'Journal Entries'!$C:$C,"&gt;"&amp;AY$8)</f>
        <v>0</v>
      </c>
      <c r="BA77" s="43">
        <f>SUMIFS('Journal Entries'!$L:$L,'Journal Entries'!$K:$K,$C77,'Journal Entries'!$C:$C,"&lt;="&amp;BA$8,'Journal Entries'!$C:$C,"&gt;"&amp;AZ$8)</f>
        <v>0</v>
      </c>
      <c r="BB77" s="43">
        <f>SUMIFS('Journal Entries'!$L:$L,'Journal Entries'!$K:$K,$C77,'Journal Entries'!$C:$C,"&lt;="&amp;BB$8,'Journal Entries'!$C:$C,"&gt;"&amp;BA$8)</f>
        <v>0</v>
      </c>
      <c r="BC77" s="43">
        <f>SUMIFS('Journal Entries'!$L:$L,'Journal Entries'!$K:$K,$C77,'Journal Entries'!$C:$C,"&lt;="&amp;BC$8,'Journal Entries'!$C:$C,"&gt;"&amp;BB$8)</f>
        <v>0</v>
      </c>
      <c r="BD77" s="43">
        <f>SUMIFS('Journal Entries'!$L:$L,'Journal Entries'!$K:$K,$C77,'Journal Entries'!$C:$C,"&lt;="&amp;BD$8,'Journal Entries'!$C:$C,"&gt;"&amp;BC$8)</f>
        <v>0</v>
      </c>
      <c r="BE77" s="43">
        <f>SUMIFS('Journal Entries'!$L:$L,'Journal Entries'!$K:$K,$C77,'Journal Entries'!$C:$C,"&lt;="&amp;BE$8,'Journal Entries'!$C:$C,"&gt;"&amp;BD$8)</f>
        <v>0</v>
      </c>
      <c r="BF77" s="43">
        <f>SUMIFS('Journal Entries'!$L:$L,'Journal Entries'!$K:$K,$C77,'Journal Entries'!$C:$C,"&lt;="&amp;BF$8,'Journal Entries'!$C:$C,"&gt;"&amp;BE$8)</f>
        <v>0</v>
      </c>
      <c r="BG77" s="43">
        <f>SUMIFS('Journal Entries'!$L:$L,'Journal Entries'!$K:$K,$C77,'Journal Entries'!$C:$C,"&lt;="&amp;BG$8,'Journal Entries'!$C:$C,"&gt;"&amp;BF$8)</f>
        <v>0</v>
      </c>
      <c r="BH77" s="43">
        <f>SUMIFS('Journal Entries'!$L:$L,'Journal Entries'!$K:$K,$C77,'Journal Entries'!$C:$C,"&lt;="&amp;BH$8,'Journal Entries'!$C:$C,"&gt;"&amp;BG$8)</f>
        <v>0</v>
      </c>
      <c r="BI77" s="43">
        <f>SUMIFS('Journal Entries'!$L:$L,'Journal Entries'!$K:$K,$C77,'Journal Entries'!$C:$C,"&lt;="&amp;BI$8,'Journal Entries'!$C:$C,"&gt;"&amp;BH$8)</f>
        <v>0</v>
      </c>
      <c r="BJ77" s="43">
        <f>SUMIFS('Journal Entries'!$L:$L,'Journal Entries'!$K:$K,$C77,'Journal Entries'!$C:$C,"&lt;="&amp;BJ$8,'Journal Entries'!$C:$C,"&gt;"&amp;BI$8)</f>
        <v>0</v>
      </c>
      <c r="BK77" s="43">
        <f>SUMIFS('Journal Entries'!$L:$L,'Journal Entries'!$K:$K,$C77,'Journal Entries'!$C:$C,"&lt;="&amp;BK$8,'Journal Entries'!$C:$C,"&gt;"&amp;BJ$8)</f>
        <v>0</v>
      </c>
      <c r="BL77" s="43">
        <f>SUMIFS('Journal Entries'!$L:$L,'Journal Entries'!$K:$K,$C77,'Journal Entries'!$C:$C,"&lt;="&amp;BL$8,'Journal Entries'!$C:$C,"&gt;"&amp;BK$8)</f>
        <v>0</v>
      </c>
    </row>
    <row r="78" spans="2:64" x14ac:dyDescent="0.25">
      <c r="B78" s="10">
        <v>8020</v>
      </c>
      <c r="C78" s="10" t="str">
        <f>VLOOKUP(B78,'Chart of Accounts'!$B$3:$C$95,2,0)</f>
        <v>Amortization</v>
      </c>
      <c r="D78" s="525">
        <f t="shared" si="3"/>
        <v>0</v>
      </c>
      <c r="E78" s="43">
        <f>SUMIFS('Journal Entries'!$L:$L,'Journal Entries'!$K:$K,$C78,'Journal Entries'!$C:$C,"&lt;="&amp;E$8,'Journal Entries'!$C:$C,"&gt;"&amp;D$8)</f>
        <v>0</v>
      </c>
      <c r="F78" s="43">
        <f>SUMIFS('Journal Entries'!$L:$L,'Journal Entries'!$K:$K,$C78,'Journal Entries'!$C:$C,"&lt;="&amp;F$8,'Journal Entries'!$C:$C,"&gt;"&amp;E$8)</f>
        <v>0</v>
      </c>
      <c r="G78" s="43">
        <f>SUMIFS('Journal Entries'!$L:$L,'Journal Entries'!$K:$K,$C78,'Journal Entries'!$C:$C,"&lt;="&amp;G$8,'Journal Entries'!$C:$C,"&gt;"&amp;F$8)</f>
        <v>0</v>
      </c>
      <c r="H78" s="43">
        <f>SUMIFS('Journal Entries'!$L:$L,'Journal Entries'!$K:$K,$C78,'Journal Entries'!$C:$C,"&lt;="&amp;H$8,'Journal Entries'!$C:$C,"&gt;"&amp;G$8)</f>
        <v>0</v>
      </c>
      <c r="I78" s="43">
        <f>SUMIFS('Journal Entries'!$L:$L,'Journal Entries'!$K:$K,$C78,'Journal Entries'!$C:$C,"&lt;="&amp;I$8,'Journal Entries'!$C:$C,"&gt;"&amp;H$8)</f>
        <v>0</v>
      </c>
      <c r="J78" s="43">
        <f>SUMIFS('Journal Entries'!$L:$L,'Journal Entries'!$K:$K,$C78,'Journal Entries'!$C:$C,"&lt;="&amp;J$8,'Journal Entries'!$C:$C,"&gt;"&amp;I$8)</f>
        <v>0</v>
      </c>
      <c r="K78" s="43">
        <f>SUMIFS('Journal Entries'!$L:$L,'Journal Entries'!$K:$K,$C78,'Journal Entries'!$C:$C,"&lt;="&amp;K$8,'Journal Entries'!$C:$C,"&gt;"&amp;J$8)</f>
        <v>0</v>
      </c>
      <c r="L78" s="43">
        <f>SUMIFS('Journal Entries'!$L:$L,'Journal Entries'!$K:$K,$C78,'Journal Entries'!$C:$C,"&lt;="&amp;L$8,'Journal Entries'!$C:$C,"&gt;"&amp;K$8)</f>
        <v>0</v>
      </c>
      <c r="M78" s="43">
        <f>SUMIFS('Journal Entries'!$L:$L,'Journal Entries'!$K:$K,$C78,'Journal Entries'!$C:$C,"&lt;="&amp;M$8,'Journal Entries'!$C:$C,"&gt;"&amp;L$8)</f>
        <v>0</v>
      </c>
      <c r="N78" s="43">
        <f>SUMIFS('Journal Entries'!$L:$L,'Journal Entries'!$K:$K,$C78,'Journal Entries'!$C:$C,"&lt;="&amp;N$8,'Journal Entries'!$C:$C,"&gt;"&amp;M$8)</f>
        <v>0</v>
      </c>
      <c r="O78" s="43">
        <f>SUMIFS('Journal Entries'!$L:$L,'Journal Entries'!$K:$K,$C78,'Journal Entries'!$C:$C,"&lt;="&amp;O$8,'Journal Entries'!$C:$C,"&gt;"&amp;N$8)</f>
        <v>0</v>
      </c>
      <c r="P78" s="43">
        <f>SUMIFS('Journal Entries'!$L:$L,'Journal Entries'!$K:$K,$C78,'Journal Entries'!$C:$C,"&lt;="&amp;P$8,'Journal Entries'!$C:$C,"&gt;"&amp;O$8)</f>
        <v>0</v>
      </c>
      <c r="Q78" s="43">
        <f>SUMIFS('Journal Entries'!$L:$L,'Journal Entries'!$K:$K,$C78,'Journal Entries'!$C:$C,"&lt;="&amp;Q$8,'Journal Entries'!$C:$C,"&gt;"&amp;P$8)</f>
        <v>0</v>
      </c>
      <c r="R78" s="43">
        <f>SUMIFS('Journal Entries'!$L:$L,'Journal Entries'!$K:$K,$C78,'Journal Entries'!$C:$C,"&lt;="&amp;R$8,'Journal Entries'!$C:$C,"&gt;"&amp;Q$8)</f>
        <v>0</v>
      </c>
      <c r="S78" s="43">
        <f>SUMIFS('Journal Entries'!$L:$L,'Journal Entries'!$K:$K,$C78,'Journal Entries'!$C:$C,"&lt;="&amp;S$8,'Journal Entries'!$C:$C,"&gt;"&amp;R$8)</f>
        <v>0</v>
      </c>
      <c r="T78" s="43">
        <f>SUMIFS('Journal Entries'!$L:$L,'Journal Entries'!$K:$K,$C78,'Journal Entries'!$C:$C,"&lt;="&amp;T$8,'Journal Entries'!$C:$C,"&gt;"&amp;S$8)</f>
        <v>0</v>
      </c>
      <c r="U78" s="43">
        <f>SUMIFS('Journal Entries'!$L:$L,'Journal Entries'!$K:$K,$C78,'Journal Entries'!$C:$C,"&lt;="&amp;U$8,'Journal Entries'!$C:$C,"&gt;"&amp;T$8)</f>
        <v>0</v>
      </c>
      <c r="V78" s="43">
        <f>SUMIFS('Journal Entries'!$L:$L,'Journal Entries'!$K:$K,$C78,'Journal Entries'!$C:$C,"&lt;="&amp;V$8,'Journal Entries'!$C:$C,"&gt;"&amp;U$8)</f>
        <v>0</v>
      </c>
      <c r="W78" s="43">
        <f>SUMIFS('Journal Entries'!$L:$L,'Journal Entries'!$K:$K,$C78,'Journal Entries'!$C:$C,"&lt;="&amp;W$8,'Journal Entries'!$C:$C,"&gt;"&amp;V$8)</f>
        <v>0</v>
      </c>
      <c r="X78" s="43">
        <f>SUMIFS('Journal Entries'!$L:$L,'Journal Entries'!$K:$K,$C78,'Journal Entries'!$C:$C,"&lt;="&amp;X$8,'Journal Entries'!$C:$C,"&gt;"&amp;W$8)</f>
        <v>0</v>
      </c>
      <c r="Y78" s="43">
        <f>SUMIFS('Journal Entries'!$L:$L,'Journal Entries'!$K:$K,$C78,'Journal Entries'!$C:$C,"&lt;="&amp;Y$8,'Journal Entries'!$C:$C,"&gt;"&amp;X$8)</f>
        <v>0</v>
      </c>
      <c r="Z78" s="43">
        <f>SUMIFS('Journal Entries'!$L:$L,'Journal Entries'!$K:$K,$C78,'Journal Entries'!$C:$C,"&lt;="&amp;Z$8,'Journal Entries'!$C:$C,"&gt;"&amp;Y$8)</f>
        <v>0</v>
      </c>
      <c r="AA78" s="43">
        <f>SUMIFS('Journal Entries'!$L:$L,'Journal Entries'!$K:$K,$C78,'Journal Entries'!$C:$C,"&lt;="&amp;AA$8,'Journal Entries'!$C:$C,"&gt;"&amp;Z$8)</f>
        <v>0</v>
      </c>
      <c r="AB78" s="43">
        <f>SUMIFS('Journal Entries'!$L:$L,'Journal Entries'!$K:$K,$C78,'Journal Entries'!$C:$C,"&lt;="&amp;AB$8,'Journal Entries'!$C:$C,"&gt;"&amp;AA$8)</f>
        <v>0</v>
      </c>
      <c r="AC78" s="43">
        <f>SUMIFS('Journal Entries'!$L:$L,'Journal Entries'!$K:$K,$C78,'Journal Entries'!$C:$C,"&lt;="&amp;AC$8,'Journal Entries'!$C:$C,"&gt;"&amp;AB$8)</f>
        <v>0</v>
      </c>
      <c r="AD78" s="43">
        <f>SUMIFS('Journal Entries'!$L:$L,'Journal Entries'!$K:$K,$C78,'Journal Entries'!$C:$C,"&lt;="&amp;AD$8,'Journal Entries'!$C:$C,"&gt;"&amp;AC$8)</f>
        <v>0</v>
      </c>
      <c r="AE78" s="43">
        <f>SUMIFS('Journal Entries'!$L:$L,'Journal Entries'!$K:$K,$C78,'Journal Entries'!$C:$C,"&lt;="&amp;AE$8,'Journal Entries'!$C:$C,"&gt;"&amp;AD$8)</f>
        <v>0</v>
      </c>
      <c r="AF78" s="43">
        <f>SUMIFS('Journal Entries'!$L:$L,'Journal Entries'!$K:$K,$C78,'Journal Entries'!$C:$C,"&lt;="&amp;AF$8,'Journal Entries'!$C:$C,"&gt;"&amp;AE$8)</f>
        <v>0</v>
      </c>
      <c r="AG78" s="43">
        <f>SUMIFS('Journal Entries'!$L:$L,'Journal Entries'!$K:$K,$C78,'Journal Entries'!$C:$C,"&lt;="&amp;AG$8,'Journal Entries'!$C:$C,"&gt;"&amp;AF$8)</f>
        <v>0</v>
      </c>
      <c r="AH78" s="43">
        <f>SUMIFS('Journal Entries'!$L:$L,'Journal Entries'!$K:$K,$C78,'Journal Entries'!$C:$C,"&lt;="&amp;AH$8,'Journal Entries'!$C:$C,"&gt;"&amp;AG$8)</f>
        <v>0</v>
      </c>
      <c r="AI78" s="43">
        <f>SUMIFS('Journal Entries'!$L:$L,'Journal Entries'!$K:$K,$C78,'Journal Entries'!$C:$C,"&lt;="&amp;AI$8,'Journal Entries'!$C:$C,"&gt;"&amp;AH$8)</f>
        <v>0</v>
      </c>
      <c r="AJ78" s="43">
        <f>SUMIFS('Journal Entries'!$L:$L,'Journal Entries'!$K:$K,$C78,'Journal Entries'!$C:$C,"&lt;="&amp;AJ$8,'Journal Entries'!$C:$C,"&gt;"&amp;AI$8)</f>
        <v>0</v>
      </c>
      <c r="AK78" s="43">
        <f>SUMIFS('Journal Entries'!$L:$L,'Journal Entries'!$K:$K,$C78,'Journal Entries'!$C:$C,"&lt;="&amp;AK$8,'Journal Entries'!$C:$C,"&gt;"&amp;AJ$8)</f>
        <v>0</v>
      </c>
      <c r="AL78" s="43">
        <f>SUMIFS('Journal Entries'!$L:$L,'Journal Entries'!$K:$K,$C78,'Journal Entries'!$C:$C,"&lt;="&amp;AL$8,'Journal Entries'!$C:$C,"&gt;"&amp;AK$8)</f>
        <v>0</v>
      </c>
      <c r="AM78" s="43">
        <f>SUMIFS('Journal Entries'!$L:$L,'Journal Entries'!$K:$K,$C78,'Journal Entries'!$C:$C,"&lt;="&amp;AM$8,'Journal Entries'!$C:$C,"&gt;"&amp;AL$8)</f>
        <v>0</v>
      </c>
      <c r="AN78" s="43">
        <f>SUMIFS('Journal Entries'!$L:$L,'Journal Entries'!$K:$K,$C78,'Journal Entries'!$C:$C,"&lt;="&amp;AN$8,'Journal Entries'!$C:$C,"&gt;"&amp;AM$8)</f>
        <v>0</v>
      </c>
      <c r="AO78" s="43">
        <f>SUMIFS('Journal Entries'!$L:$L,'Journal Entries'!$K:$K,$C78,'Journal Entries'!$C:$C,"&lt;="&amp;AO$8,'Journal Entries'!$C:$C,"&gt;"&amp;AN$8)</f>
        <v>0</v>
      </c>
      <c r="AP78" s="43">
        <f>SUMIFS('Journal Entries'!$L:$L,'Journal Entries'!$K:$K,$C78,'Journal Entries'!$C:$C,"&lt;="&amp;AP$8,'Journal Entries'!$C:$C,"&gt;"&amp;AO$8)</f>
        <v>0</v>
      </c>
      <c r="AQ78" s="43">
        <f>SUMIFS('Journal Entries'!$L:$L,'Journal Entries'!$K:$K,$C78,'Journal Entries'!$C:$C,"&lt;="&amp;AQ$8,'Journal Entries'!$C:$C,"&gt;"&amp;AP$8)</f>
        <v>0</v>
      </c>
      <c r="AR78" s="43">
        <f>SUMIFS('Journal Entries'!$L:$L,'Journal Entries'!$K:$K,$C78,'Journal Entries'!$C:$C,"&lt;="&amp;AR$8,'Journal Entries'!$C:$C,"&gt;"&amp;AQ$8)</f>
        <v>0</v>
      </c>
      <c r="AS78" s="43">
        <f>SUMIFS('Journal Entries'!$L:$L,'Journal Entries'!$K:$K,$C78,'Journal Entries'!$C:$C,"&lt;="&amp;AS$8,'Journal Entries'!$C:$C,"&gt;"&amp;AR$8)</f>
        <v>0</v>
      </c>
      <c r="AT78" s="43">
        <f>SUMIFS('Journal Entries'!$L:$L,'Journal Entries'!$K:$K,$C78,'Journal Entries'!$C:$C,"&lt;="&amp;AT$8,'Journal Entries'!$C:$C,"&gt;"&amp;AS$8)</f>
        <v>0</v>
      </c>
      <c r="AU78" s="43">
        <f>SUMIFS('Journal Entries'!$L:$L,'Journal Entries'!$K:$K,$C78,'Journal Entries'!$C:$C,"&lt;="&amp;AU$8,'Journal Entries'!$C:$C,"&gt;"&amp;AT$8)</f>
        <v>0</v>
      </c>
      <c r="AV78" s="43">
        <f>SUMIFS('Journal Entries'!$L:$L,'Journal Entries'!$K:$K,$C78,'Journal Entries'!$C:$C,"&lt;="&amp;AV$8,'Journal Entries'!$C:$C,"&gt;"&amp;AU$8)</f>
        <v>0</v>
      </c>
      <c r="AW78" s="43">
        <f>SUMIFS('Journal Entries'!$L:$L,'Journal Entries'!$K:$K,$C78,'Journal Entries'!$C:$C,"&lt;="&amp;AW$8,'Journal Entries'!$C:$C,"&gt;"&amp;AV$8)</f>
        <v>0</v>
      </c>
      <c r="AX78" s="43">
        <f>SUMIFS('Journal Entries'!$L:$L,'Journal Entries'!$K:$K,$C78,'Journal Entries'!$C:$C,"&lt;="&amp;AX$8,'Journal Entries'!$C:$C,"&gt;"&amp;AW$8)</f>
        <v>0</v>
      </c>
      <c r="AY78" s="43">
        <f>SUMIFS('Journal Entries'!$L:$L,'Journal Entries'!$K:$K,$C78,'Journal Entries'!$C:$C,"&lt;="&amp;AY$8,'Journal Entries'!$C:$C,"&gt;"&amp;AX$8)</f>
        <v>0</v>
      </c>
      <c r="AZ78" s="43">
        <f>SUMIFS('Journal Entries'!$L:$L,'Journal Entries'!$K:$K,$C78,'Journal Entries'!$C:$C,"&lt;="&amp;AZ$8,'Journal Entries'!$C:$C,"&gt;"&amp;AY$8)</f>
        <v>0</v>
      </c>
      <c r="BA78" s="43">
        <f>SUMIFS('Journal Entries'!$L:$L,'Journal Entries'!$K:$K,$C78,'Journal Entries'!$C:$C,"&lt;="&amp;BA$8,'Journal Entries'!$C:$C,"&gt;"&amp;AZ$8)</f>
        <v>0</v>
      </c>
      <c r="BB78" s="43">
        <f>SUMIFS('Journal Entries'!$L:$L,'Journal Entries'!$K:$K,$C78,'Journal Entries'!$C:$C,"&lt;="&amp;BB$8,'Journal Entries'!$C:$C,"&gt;"&amp;BA$8)</f>
        <v>0</v>
      </c>
      <c r="BC78" s="43">
        <f>SUMIFS('Journal Entries'!$L:$L,'Journal Entries'!$K:$K,$C78,'Journal Entries'!$C:$C,"&lt;="&amp;BC$8,'Journal Entries'!$C:$C,"&gt;"&amp;BB$8)</f>
        <v>0</v>
      </c>
      <c r="BD78" s="43">
        <f>SUMIFS('Journal Entries'!$L:$L,'Journal Entries'!$K:$K,$C78,'Journal Entries'!$C:$C,"&lt;="&amp;BD$8,'Journal Entries'!$C:$C,"&gt;"&amp;BC$8)</f>
        <v>0</v>
      </c>
      <c r="BE78" s="43">
        <f>SUMIFS('Journal Entries'!$L:$L,'Journal Entries'!$K:$K,$C78,'Journal Entries'!$C:$C,"&lt;="&amp;BE$8,'Journal Entries'!$C:$C,"&gt;"&amp;BD$8)</f>
        <v>0</v>
      </c>
      <c r="BF78" s="43">
        <f>SUMIFS('Journal Entries'!$L:$L,'Journal Entries'!$K:$K,$C78,'Journal Entries'!$C:$C,"&lt;="&amp;BF$8,'Journal Entries'!$C:$C,"&gt;"&amp;BE$8)</f>
        <v>0</v>
      </c>
      <c r="BG78" s="43">
        <f>SUMIFS('Journal Entries'!$L:$L,'Journal Entries'!$K:$K,$C78,'Journal Entries'!$C:$C,"&lt;="&amp;BG$8,'Journal Entries'!$C:$C,"&gt;"&amp;BF$8)</f>
        <v>0</v>
      </c>
      <c r="BH78" s="43">
        <f>SUMIFS('Journal Entries'!$L:$L,'Journal Entries'!$K:$K,$C78,'Journal Entries'!$C:$C,"&lt;="&amp;BH$8,'Journal Entries'!$C:$C,"&gt;"&amp;BG$8)</f>
        <v>0</v>
      </c>
      <c r="BI78" s="43">
        <f>SUMIFS('Journal Entries'!$L:$L,'Journal Entries'!$K:$K,$C78,'Journal Entries'!$C:$C,"&lt;="&amp;BI$8,'Journal Entries'!$C:$C,"&gt;"&amp;BH$8)</f>
        <v>0</v>
      </c>
      <c r="BJ78" s="43">
        <f>SUMIFS('Journal Entries'!$L:$L,'Journal Entries'!$K:$K,$C78,'Journal Entries'!$C:$C,"&lt;="&amp;BJ$8,'Journal Entries'!$C:$C,"&gt;"&amp;BI$8)</f>
        <v>0</v>
      </c>
      <c r="BK78" s="43">
        <f>SUMIFS('Journal Entries'!$L:$L,'Journal Entries'!$K:$K,$C78,'Journal Entries'!$C:$C,"&lt;="&amp;BK$8,'Journal Entries'!$C:$C,"&gt;"&amp;BJ$8)</f>
        <v>0</v>
      </c>
      <c r="BL78" s="43">
        <f>SUMIFS('Journal Entries'!$L:$L,'Journal Entries'!$K:$K,$C78,'Journal Entries'!$C:$C,"&lt;="&amp;BL$8,'Journal Entries'!$C:$C,"&gt;"&amp;BK$8)</f>
        <v>0</v>
      </c>
    </row>
    <row r="79" spans="2:64" x14ac:dyDescent="0.25">
      <c r="B79" s="10">
        <v>6000</v>
      </c>
      <c r="C79" s="10" t="str">
        <f>VLOOKUP(B79,'Chart of Accounts'!$B$3:$C$95,2,0)</f>
        <v>Realized investment gains/losses</v>
      </c>
      <c r="D79" s="525">
        <f t="shared" si="3"/>
        <v>-4600000</v>
      </c>
      <c r="E79" s="43">
        <f>SUMIFS('Journal Entries'!$L:$L,'Journal Entries'!$K:$K,$C79,'Journal Entries'!$C:$C,"&lt;="&amp;E$8,'Journal Entries'!$C:$C,"&gt;"&amp;D$8)</f>
        <v>0</v>
      </c>
      <c r="F79" s="43">
        <f>SUMIFS('Journal Entries'!$L:$L,'Journal Entries'!$K:$K,$C79,'Journal Entries'!$C:$C,"&lt;="&amp;F$8,'Journal Entries'!$C:$C,"&gt;"&amp;E$8)</f>
        <v>0</v>
      </c>
      <c r="G79" s="43">
        <f>SUMIFS('Journal Entries'!$L:$L,'Journal Entries'!$K:$K,$C79,'Journal Entries'!$C:$C,"&lt;="&amp;G$8,'Journal Entries'!$C:$C,"&gt;"&amp;F$8)</f>
        <v>0</v>
      </c>
      <c r="H79" s="43">
        <f>SUMIFS('Journal Entries'!$L:$L,'Journal Entries'!$K:$K,$C79,'Journal Entries'!$C:$C,"&lt;="&amp;H$8,'Journal Entries'!$C:$C,"&gt;"&amp;G$8)</f>
        <v>0</v>
      </c>
      <c r="I79" s="43">
        <f>SUMIFS('Journal Entries'!$L:$L,'Journal Entries'!$K:$K,$C79,'Journal Entries'!$C:$C,"&lt;="&amp;I$8,'Journal Entries'!$C:$C,"&gt;"&amp;H$8)</f>
        <v>0</v>
      </c>
      <c r="J79" s="43">
        <f>SUMIFS('Journal Entries'!$L:$L,'Journal Entries'!$K:$K,$C79,'Journal Entries'!$C:$C,"&lt;="&amp;J$8,'Journal Entries'!$C:$C,"&gt;"&amp;I$8)</f>
        <v>0</v>
      </c>
      <c r="K79" s="43">
        <f>SUMIFS('Journal Entries'!$L:$L,'Journal Entries'!$K:$K,$C79,'Journal Entries'!$C:$C,"&lt;="&amp;K$8,'Journal Entries'!$C:$C,"&gt;"&amp;J$8)</f>
        <v>0</v>
      </c>
      <c r="L79" s="43">
        <f>SUMIFS('Journal Entries'!$L:$L,'Journal Entries'!$K:$K,$C79,'Journal Entries'!$C:$C,"&lt;="&amp;L$8,'Journal Entries'!$C:$C,"&gt;"&amp;K$8)</f>
        <v>0</v>
      </c>
      <c r="M79" s="43">
        <f>SUMIFS('Journal Entries'!$L:$L,'Journal Entries'!$K:$K,$C79,'Journal Entries'!$C:$C,"&lt;="&amp;M$8,'Journal Entries'!$C:$C,"&gt;"&amp;L$8)</f>
        <v>0</v>
      </c>
      <c r="N79" s="43">
        <f>SUMIFS('Journal Entries'!$L:$L,'Journal Entries'!$K:$K,$C79,'Journal Entries'!$C:$C,"&lt;="&amp;N$8,'Journal Entries'!$C:$C,"&gt;"&amp;M$8)</f>
        <v>0</v>
      </c>
      <c r="O79" s="43">
        <f>SUMIFS('Journal Entries'!$L:$L,'Journal Entries'!$K:$K,$C79,'Journal Entries'!$C:$C,"&lt;="&amp;O$8,'Journal Entries'!$C:$C,"&gt;"&amp;N$8)</f>
        <v>-4600000</v>
      </c>
      <c r="P79" s="43">
        <f>SUMIFS('Journal Entries'!$L:$L,'Journal Entries'!$K:$K,$C79,'Journal Entries'!$C:$C,"&lt;="&amp;P$8,'Journal Entries'!$C:$C,"&gt;"&amp;O$8)</f>
        <v>0</v>
      </c>
      <c r="Q79" s="43">
        <f>SUMIFS('Journal Entries'!$L:$L,'Journal Entries'!$K:$K,$C79,'Journal Entries'!$C:$C,"&lt;="&amp;Q$8,'Journal Entries'!$C:$C,"&gt;"&amp;P$8)</f>
        <v>0</v>
      </c>
      <c r="R79" s="43">
        <f>SUMIFS('Journal Entries'!$L:$L,'Journal Entries'!$K:$K,$C79,'Journal Entries'!$C:$C,"&lt;="&amp;R$8,'Journal Entries'!$C:$C,"&gt;"&amp;Q$8)</f>
        <v>0</v>
      </c>
      <c r="S79" s="43">
        <f>SUMIFS('Journal Entries'!$L:$L,'Journal Entries'!$K:$K,$C79,'Journal Entries'!$C:$C,"&lt;="&amp;S$8,'Journal Entries'!$C:$C,"&gt;"&amp;R$8)</f>
        <v>0</v>
      </c>
      <c r="T79" s="43">
        <f>SUMIFS('Journal Entries'!$L:$L,'Journal Entries'!$K:$K,$C79,'Journal Entries'!$C:$C,"&lt;="&amp;T$8,'Journal Entries'!$C:$C,"&gt;"&amp;S$8)</f>
        <v>0</v>
      </c>
      <c r="U79" s="43">
        <f>SUMIFS('Journal Entries'!$L:$L,'Journal Entries'!$K:$K,$C79,'Journal Entries'!$C:$C,"&lt;="&amp;U$8,'Journal Entries'!$C:$C,"&gt;"&amp;T$8)</f>
        <v>0</v>
      </c>
      <c r="V79" s="43">
        <f>SUMIFS('Journal Entries'!$L:$L,'Journal Entries'!$K:$K,$C79,'Journal Entries'!$C:$C,"&lt;="&amp;V$8,'Journal Entries'!$C:$C,"&gt;"&amp;U$8)</f>
        <v>0</v>
      </c>
      <c r="W79" s="43">
        <f>SUMIFS('Journal Entries'!$L:$L,'Journal Entries'!$K:$K,$C79,'Journal Entries'!$C:$C,"&lt;="&amp;W$8,'Journal Entries'!$C:$C,"&gt;"&amp;V$8)</f>
        <v>0</v>
      </c>
      <c r="X79" s="43">
        <f>SUMIFS('Journal Entries'!$L:$L,'Journal Entries'!$K:$K,$C79,'Journal Entries'!$C:$C,"&lt;="&amp;X$8,'Journal Entries'!$C:$C,"&gt;"&amp;W$8)</f>
        <v>0</v>
      </c>
      <c r="Y79" s="43">
        <f>SUMIFS('Journal Entries'!$L:$L,'Journal Entries'!$K:$K,$C79,'Journal Entries'!$C:$C,"&lt;="&amp;Y$8,'Journal Entries'!$C:$C,"&gt;"&amp;X$8)</f>
        <v>0</v>
      </c>
      <c r="Z79" s="43">
        <f>SUMIFS('Journal Entries'!$L:$L,'Journal Entries'!$K:$K,$C79,'Journal Entries'!$C:$C,"&lt;="&amp;Z$8,'Journal Entries'!$C:$C,"&gt;"&amp;Y$8)</f>
        <v>0</v>
      </c>
      <c r="AA79" s="43">
        <f>SUMIFS('Journal Entries'!$L:$L,'Journal Entries'!$K:$K,$C79,'Journal Entries'!$C:$C,"&lt;="&amp;AA$8,'Journal Entries'!$C:$C,"&gt;"&amp;Z$8)</f>
        <v>0</v>
      </c>
      <c r="AB79" s="43">
        <f>SUMIFS('Journal Entries'!$L:$L,'Journal Entries'!$K:$K,$C79,'Journal Entries'!$C:$C,"&lt;="&amp;AB$8,'Journal Entries'!$C:$C,"&gt;"&amp;AA$8)</f>
        <v>0</v>
      </c>
      <c r="AC79" s="43">
        <f>SUMIFS('Journal Entries'!$L:$L,'Journal Entries'!$K:$K,$C79,'Journal Entries'!$C:$C,"&lt;="&amp;AC$8,'Journal Entries'!$C:$C,"&gt;"&amp;AB$8)</f>
        <v>0</v>
      </c>
      <c r="AD79" s="43">
        <f>SUMIFS('Journal Entries'!$L:$L,'Journal Entries'!$K:$K,$C79,'Journal Entries'!$C:$C,"&lt;="&amp;AD$8,'Journal Entries'!$C:$C,"&gt;"&amp;AC$8)</f>
        <v>0</v>
      </c>
      <c r="AE79" s="43">
        <f>SUMIFS('Journal Entries'!$L:$L,'Journal Entries'!$K:$K,$C79,'Journal Entries'!$C:$C,"&lt;="&amp;AE$8,'Journal Entries'!$C:$C,"&gt;"&amp;AD$8)</f>
        <v>0</v>
      </c>
      <c r="AF79" s="43">
        <f>SUMIFS('Journal Entries'!$L:$L,'Journal Entries'!$K:$K,$C79,'Journal Entries'!$C:$C,"&lt;="&amp;AF$8,'Journal Entries'!$C:$C,"&gt;"&amp;AE$8)</f>
        <v>0</v>
      </c>
      <c r="AG79" s="43">
        <f>SUMIFS('Journal Entries'!$L:$L,'Journal Entries'!$K:$K,$C79,'Journal Entries'!$C:$C,"&lt;="&amp;AG$8,'Journal Entries'!$C:$C,"&gt;"&amp;AF$8)</f>
        <v>0</v>
      </c>
      <c r="AH79" s="43">
        <f>SUMIFS('Journal Entries'!$L:$L,'Journal Entries'!$K:$K,$C79,'Journal Entries'!$C:$C,"&lt;="&amp;AH$8,'Journal Entries'!$C:$C,"&gt;"&amp;AG$8)</f>
        <v>0</v>
      </c>
      <c r="AI79" s="43">
        <f>SUMIFS('Journal Entries'!$L:$L,'Journal Entries'!$K:$K,$C79,'Journal Entries'!$C:$C,"&lt;="&amp;AI$8,'Journal Entries'!$C:$C,"&gt;"&amp;AH$8)</f>
        <v>0</v>
      </c>
      <c r="AJ79" s="43">
        <f>SUMIFS('Journal Entries'!$L:$L,'Journal Entries'!$K:$K,$C79,'Journal Entries'!$C:$C,"&lt;="&amp;AJ$8,'Journal Entries'!$C:$C,"&gt;"&amp;AI$8)</f>
        <v>0</v>
      </c>
      <c r="AK79" s="43">
        <f>SUMIFS('Journal Entries'!$L:$L,'Journal Entries'!$K:$K,$C79,'Journal Entries'!$C:$C,"&lt;="&amp;AK$8,'Journal Entries'!$C:$C,"&gt;"&amp;AJ$8)</f>
        <v>0</v>
      </c>
      <c r="AL79" s="43">
        <f>SUMIFS('Journal Entries'!$L:$L,'Journal Entries'!$K:$K,$C79,'Journal Entries'!$C:$C,"&lt;="&amp;AL$8,'Journal Entries'!$C:$C,"&gt;"&amp;AK$8)</f>
        <v>0</v>
      </c>
      <c r="AM79" s="43">
        <f>SUMIFS('Journal Entries'!$L:$L,'Journal Entries'!$K:$K,$C79,'Journal Entries'!$C:$C,"&lt;="&amp;AM$8,'Journal Entries'!$C:$C,"&gt;"&amp;AL$8)</f>
        <v>0</v>
      </c>
      <c r="AN79" s="43">
        <f>SUMIFS('Journal Entries'!$L:$L,'Journal Entries'!$K:$K,$C79,'Journal Entries'!$C:$C,"&lt;="&amp;AN$8,'Journal Entries'!$C:$C,"&gt;"&amp;AM$8)</f>
        <v>0</v>
      </c>
      <c r="AO79" s="43">
        <f>SUMIFS('Journal Entries'!$L:$L,'Journal Entries'!$K:$K,$C79,'Journal Entries'!$C:$C,"&lt;="&amp;AO$8,'Journal Entries'!$C:$C,"&gt;"&amp;AN$8)</f>
        <v>0</v>
      </c>
      <c r="AP79" s="43">
        <f>SUMIFS('Journal Entries'!$L:$L,'Journal Entries'!$K:$K,$C79,'Journal Entries'!$C:$C,"&lt;="&amp;AP$8,'Journal Entries'!$C:$C,"&gt;"&amp;AO$8)</f>
        <v>0</v>
      </c>
      <c r="AQ79" s="43">
        <f>SUMIFS('Journal Entries'!$L:$L,'Journal Entries'!$K:$K,$C79,'Journal Entries'!$C:$C,"&lt;="&amp;AQ$8,'Journal Entries'!$C:$C,"&gt;"&amp;AP$8)</f>
        <v>0</v>
      </c>
      <c r="AR79" s="43">
        <f>SUMIFS('Journal Entries'!$L:$L,'Journal Entries'!$K:$K,$C79,'Journal Entries'!$C:$C,"&lt;="&amp;AR$8,'Journal Entries'!$C:$C,"&gt;"&amp;AQ$8)</f>
        <v>0</v>
      </c>
      <c r="AS79" s="43">
        <f>SUMIFS('Journal Entries'!$L:$L,'Journal Entries'!$K:$K,$C79,'Journal Entries'!$C:$C,"&lt;="&amp;AS$8,'Journal Entries'!$C:$C,"&gt;"&amp;AR$8)</f>
        <v>0</v>
      </c>
      <c r="AT79" s="43">
        <f>SUMIFS('Journal Entries'!$L:$L,'Journal Entries'!$K:$K,$C79,'Journal Entries'!$C:$C,"&lt;="&amp;AT$8,'Journal Entries'!$C:$C,"&gt;"&amp;AS$8)</f>
        <v>0</v>
      </c>
      <c r="AU79" s="43">
        <f>SUMIFS('Journal Entries'!$L:$L,'Journal Entries'!$K:$K,$C79,'Journal Entries'!$C:$C,"&lt;="&amp;AU$8,'Journal Entries'!$C:$C,"&gt;"&amp;AT$8)</f>
        <v>0</v>
      </c>
      <c r="AV79" s="43">
        <f>SUMIFS('Journal Entries'!$L:$L,'Journal Entries'!$K:$K,$C79,'Journal Entries'!$C:$C,"&lt;="&amp;AV$8,'Journal Entries'!$C:$C,"&gt;"&amp;AU$8)</f>
        <v>0</v>
      </c>
      <c r="AW79" s="43">
        <f>SUMIFS('Journal Entries'!$L:$L,'Journal Entries'!$K:$K,$C79,'Journal Entries'!$C:$C,"&lt;="&amp;AW$8,'Journal Entries'!$C:$C,"&gt;"&amp;AV$8)</f>
        <v>0</v>
      </c>
      <c r="AX79" s="43">
        <f>SUMIFS('Journal Entries'!$L:$L,'Journal Entries'!$K:$K,$C79,'Journal Entries'!$C:$C,"&lt;="&amp;AX$8,'Journal Entries'!$C:$C,"&gt;"&amp;AW$8)</f>
        <v>0</v>
      </c>
      <c r="AY79" s="43">
        <f>SUMIFS('Journal Entries'!$L:$L,'Journal Entries'!$K:$K,$C79,'Journal Entries'!$C:$C,"&lt;="&amp;AY$8,'Journal Entries'!$C:$C,"&gt;"&amp;AX$8)</f>
        <v>0</v>
      </c>
      <c r="AZ79" s="43">
        <f>SUMIFS('Journal Entries'!$L:$L,'Journal Entries'!$K:$K,$C79,'Journal Entries'!$C:$C,"&lt;="&amp;AZ$8,'Journal Entries'!$C:$C,"&gt;"&amp;AY$8)</f>
        <v>0</v>
      </c>
      <c r="BA79" s="43">
        <f>SUMIFS('Journal Entries'!$L:$L,'Journal Entries'!$K:$K,$C79,'Journal Entries'!$C:$C,"&lt;="&amp;BA$8,'Journal Entries'!$C:$C,"&gt;"&amp;AZ$8)</f>
        <v>0</v>
      </c>
      <c r="BB79" s="43">
        <f>SUMIFS('Journal Entries'!$L:$L,'Journal Entries'!$K:$K,$C79,'Journal Entries'!$C:$C,"&lt;="&amp;BB$8,'Journal Entries'!$C:$C,"&gt;"&amp;BA$8)</f>
        <v>0</v>
      </c>
      <c r="BC79" s="43">
        <f>SUMIFS('Journal Entries'!$L:$L,'Journal Entries'!$K:$K,$C79,'Journal Entries'!$C:$C,"&lt;="&amp;BC$8,'Journal Entries'!$C:$C,"&gt;"&amp;BB$8)</f>
        <v>0</v>
      </c>
      <c r="BD79" s="43">
        <f>SUMIFS('Journal Entries'!$L:$L,'Journal Entries'!$K:$K,$C79,'Journal Entries'!$C:$C,"&lt;="&amp;BD$8,'Journal Entries'!$C:$C,"&gt;"&amp;BC$8)</f>
        <v>0</v>
      </c>
      <c r="BE79" s="43">
        <f>SUMIFS('Journal Entries'!$L:$L,'Journal Entries'!$K:$K,$C79,'Journal Entries'!$C:$C,"&lt;="&amp;BE$8,'Journal Entries'!$C:$C,"&gt;"&amp;BD$8)</f>
        <v>0</v>
      </c>
      <c r="BF79" s="43">
        <f>SUMIFS('Journal Entries'!$L:$L,'Journal Entries'!$K:$K,$C79,'Journal Entries'!$C:$C,"&lt;="&amp;BF$8,'Journal Entries'!$C:$C,"&gt;"&amp;BE$8)</f>
        <v>0</v>
      </c>
      <c r="BG79" s="43">
        <f>SUMIFS('Journal Entries'!$L:$L,'Journal Entries'!$K:$K,$C79,'Journal Entries'!$C:$C,"&lt;="&amp;BG$8,'Journal Entries'!$C:$C,"&gt;"&amp;BF$8)</f>
        <v>0</v>
      </c>
      <c r="BH79" s="43">
        <f>SUMIFS('Journal Entries'!$L:$L,'Journal Entries'!$K:$K,$C79,'Journal Entries'!$C:$C,"&lt;="&amp;BH$8,'Journal Entries'!$C:$C,"&gt;"&amp;BG$8)</f>
        <v>0</v>
      </c>
      <c r="BI79" s="43">
        <f>SUMIFS('Journal Entries'!$L:$L,'Journal Entries'!$K:$K,$C79,'Journal Entries'!$C:$C,"&lt;="&amp;BI$8,'Journal Entries'!$C:$C,"&gt;"&amp;BH$8)</f>
        <v>0</v>
      </c>
      <c r="BJ79" s="43">
        <f>SUMIFS('Journal Entries'!$L:$L,'Journal Entries'!$K:$K,$C79,'Journal Entries'!$C:$C,"&lt;="&amp;BJ$8,'Journal Entries'!$C:$C,"&gt;"&amp;BI$8)</f>
        <v>0</v>
      </c>
      <c r="BK79" s="43">
        <f>SUMIFS('Journal Entries'!$L:$L,'Journal Entries'!$K:$K,$C79,'Journal Entries'!$C:$C,"&lt;="&amp;BK$8,'Journal Entries'!$C:$C,"&gt;"&amp;BJ$8)</f>
        <v>0</v>
      </c>
      <c r="BL79" s="43">
        <f>SUMIFS('Journal Entries'!$L:$L,'Journal Entries'!$K:$K,$C79,'Journal Entries'!$C:$C,"&lt;="&amp;BL$8,'Journal Entries'!$C:$C,"&gt;"&amp;BK$8)</f>
        <v>0</v>
      </c>
    </row>
    <row r="80" spans="2:64" x14ac:dyDescent="0.25">
      <c r="B80" s="10">
        <v>6010</v>
      </c>
      <c r="C80" s="10" t="str">
        <f>VLOOKUP(B80,'Chart of Accounts'!$B$3:$C$95,2,0)</f>
        <v>Unrealized investment gains/losses</v>
      </c>
      <c r="D80" s="525">
        <f t="shared" si="3"/>
        <v>-1000000</v>
      </c>
      <c r="E80" s="43">
        <f>SUMIFS('Journal Entries'!$L:$L,'Journal Entries'!$K:$K,$C80,'Journal Entries'!$C:$C,"&lt;="&amp;E$8,'Journal Entries'!$C:$C,"&gt;"&amp;D$8)</f>
        <v>0</v>
      </c>
      <c r="F80" s="43">
        <f>SUMIFS('Journal Entries'!$L:$L,'Journal Entries'!$K:$K,$C80,'Journal Entries'!$C:$C,"&lt;="&amp;F$8,'Journal Entries'!$C:$C,"&gt;"&amp;E$8)</f>
        <v>0</v>
      </c>
      <c r="G80" s="43">
        <f>SUMIFS('Journal Entries'!$L:$L,'Journal Entries'!$K:$K,$C80,'Journal Entries'!$C:$C,"&lt;="&amp;G$8,'Journal Entries'!$C:$C,"&gt;"&amp;F$8)</f>
        <v>0</v>
      </c>
      <c r="H80" s="43">
        <f>SUMIFS('Journal Entries'!$L:$L,'Journal Entries'!$K:$K,$C80,'Journal Entries'!$C:$C,"&lt;="&amp;H$8,'Journal Entries'!$C:$C,"&gt;"&amp;G$8)</f>
        <v>0</v>
      </c>
      <c r="I80" s="43">
        <f>SUMIFS('Journal Entries'!$L:$L,'Journal Entries'!$K:$K,$C80,'Journal Entries'!$C:$C,"&lt;="&amp;I$8,'Journal Entries'!$C:$C,"&gt;"&amp;H$8)</f>
        <v>0</v>
      </c>
      <c r="J80" s="43">
        <f>SUMIFS('Journal Entries'!$L:$L,'Journal Entries'!$K:$K,$C80,'Journal Entries'!$C:$C,"&lt;="&amp;J$8,'Journal Entries'!$C:$C,"&gt;"&amp;I$8)</f>
        <v>0</v>
      </c>
      <c r="K80" s="43">
        <f>SUMIFS('Journal Entries'!$L:$L,'Journal Entries'!$K:$K,$C80,'Journal Entries'!$C:$C,"&lt;="&amp;K$8,'Journal Entries'!$C:$C,"&gt;"&amp;J$8)</f>
        <v>0</v>
      </c>
      <c r="L80" s="43">
        <f>SUMIFS('Journal Entries'!$L:$L,'Journal Entries'!$K:$K,$C80,'Journal Entries'!$C:$C,"&lt;="&amp;L$8,'Journal Entries'!$C:$C,"&gt;"&amp;K$8)</f>
        <v>0</v>
      </c>
      <c r="M80" s="43">
        <f>SUMIFS('Journal Entries'!$L:$L,'Journal Entries'!$K:$K,$C80,'Journal Entries'!$C:$C,"&lt;="&amp;M$8,'Journal Entries'!$C:$C,"&gt;"&amp;L$8)</f>
        <v>0</v>
      </c>
      <c r="N80" s="43">
        <f>SUMIFS('Journal Entries'!$L:$L,'Journal Entries'!$K:$K,$C80,'Journal Entries'!$C:$C,"&lt;="&amp;N$8,'Journal Entries'!$C:$C,"&gt;"&amp;M$8)</f>
        <v>0</v>
      </c>
      <c r="O80" s="43">
        <f>SUMIFS('Journal Entries'!$L:$L,'Journal Entries'!$K:$K,$C80,'Journal Entries'!$C:$C,"&lt;="&amp;O$8,'Journal Entries'!$C:$C,"&gt;"&amp;N$8)</f>
        <v>0</v>
      </c>
      <c r="P80" s="43">
        <f>SUMIFS('Journal Entries'!$L:$L,'Journal Entries'!$K:$K,$C80,'Journal Entries'!$C:$C,"&lt;="&amp;P$8,'Journal Entries'!$C:$C,"&gt;"&amp;O$8)</f>
        <v>-1000000</v>
      </c>
      <c r="Q80" s="43">
        <f>SUMIFS('Journal Entries'!$L:$L,'Journal Entries'!$K:$K,$C80,'Journal Entries'!$C:$C,"&lt;="&amp;Q$8,'Journal Entries'!$C:$C,"&gt;"&amp;P$8)</f>
        <v>0</v>
      </c>
      <c r="R80" s="43">
        <f>SUMIFS('Journal Entries'!$L:$L,'Journal Entries'!$K:$K,$C80,'Journal Entries'!$C:$C,"&lt;="&amp;R$8,'Journal Entries'!$C:$C,"&gt;"&amp;Q$8)</f>
        <v>0</v>
      </c>
      <c r="S80" s="43">
        <f>SUMIFS('Journal Entries'!$L:$L,'Journal Entries'!$K:$K,$C80,'Journal Entries'!$C:$C,"&lt;="&amp;S$8,'Journal Entries'!$C:$C,"&gt;"&amp;R$8)</f>
        <v>0</v>
      </c>
      <c r="T80" s="43">
        <f>SUMIFS('Journal Entries'!$L:$L,'Journal Entries'!$K:$K,$C80,'Journal Entries'!$C:$C,"&lt;="&amp;T$8,'Journal Entries'!$C:$C,"&gt;"&amp;S$8)</f>
        <v>0</v>
      </c>
      <c r="U80" s="43">
        <f>SUMIFS('Journal Entries'!$L:$L,'Journal Entries'!$K:$K,$C80,'Journal Entries'!$C:$C,"&lt;="&amp;U$8,'Journal Entries'!$C:$C,"&gt;"&amp;T$8)</f>
        <v>0</v>
      </c>
      <c r="V80" s="43">
        <f>SUMIFS('Journal Entries'!$L:$L,'Journal Entries'!$K:$K,$C80,'Journal Entries'!$C:$C,"&lt;="&amp;V$8,'Journal Entries'!$C:$C,"&gt;"&amp;U$8)</f>
        <v>0</v>
      </c>
      <c r="W80" s="43">
        <f>SUMIFS('Journal Entries'!$L:$L,'Journal Entries'!$K:$K,$C80,'Journal Entries'!$C:$C,"&lt;="&amp;W$8,'Journal Entries'!$C:$C,"&gt;"&amp;V$8)</f>
        <v>0</v>
      </c>
      <c r="X80" s="43">
        <f>SUMIFS('Journal Entries'!$L:$L,'Journal Entries'!$K:$K,$C80,'Journal Entries'!$C:$C,"&lt;="&amp;X$8,'Journal Entries'!$C:$C,"&gt;"&amp;W$8)</f>
        <v>0</v>
      </c>
      <c r="Y80" s="43">
        <f>SUMIFS('Journal Entries'!$L:$L,'Journal Entries'!$K:$K,$C80,'Journal Entries'!$C:$C,"&lt;="&amp;Y$8,'Journal Entries'!$C:$C,"&gt;"&amp;X$8)</f>
        <v>0</v>
      </c>
      <c r="Z80" s="43">
        <f>SUMIFS('Journal Entries'!$L:$L,'Journal Entries'!$K:$K,$C80,'Journal Entries'!$C:$C,"&lt;="&amp;Z$8,'Journal Entries'!$C:$C,"&gt;"&amp;Y$8)</f>
        <v>0</v>
      </c>
      <c r="AA80" s="43">
        <f>SUMIFS('Journal Entries'!$L:$L,'Journal Entries'!$K:$K,$C80,'Journal Entries'!$C:$C,"&lt;="&amp;AA$8,'Journal Entries'!$C:$C,"&gt;"&amp;Z$8)</f>
        <v>0</v>
      </c>
      <c r="AB80" s="43">
        <f>SUMIFS('Journal Entries'!$L:$L,'Journal Entries'!$K:$K,$C80,'Journal Entries'!$C:$C,"&lt;="&amp;AB$8,'Journal Entries'!$C:$C,"&gt;"&amp;AA$8)</f>
        <v>0</v>
      </c>
      <c r="AC80" s="43">
        <f>SUMIFS('Journal Entries'!$L:$L,'Journal Entries'!$K:$K,$C80,'Journal Entries'!$C:$C,"&lt;="&amp;AC$8,'Journal Entries'!$C:$C,"&gt;"&amp;AB$8)</f>
        <v>0</v>
      </c>
      <c r="AD80" s="43">
        <f>SUMIFS('Journal Entries'!$L:$L,'Journal Entries'!$K:$K,$C80,'Journal Entries'!$C:$C,"&lt;="&amp;AD$8,'Journal Entries'!$C:$C,"&gt;"&amp;AC$8)</f>
        <v>0</v>
      </c>
      <c r="AE80" s="43">
        <f>SUMIFS('Journal Entries'!$L:$L,'Journal Entries'!$K:$K,$C80,'Journal Entries'!$C:$C,"&lt;="&amp;AE$8,'Journal Entries'!$C:$C,"&gt;"&amp;AD$8)</f>
        <v>0</v>
      </c>
      <c r="AF80" s="43">
        <f>SUMIFS('Journal Entries'!$L:$L,'Journal Entries'!$K:$K,$C80,'Journal Entries'!$C:$C,"&lt;="&amp;AF$8,'Journal Entries'!$C:$C,"&gt;"&amp;AE$8)</f>
        <v>0</v>
      </c>
      <c r="AG80" s="43">
        <f>SUMIFS('Journal Entries'!$L:$L,'Journal Entries'!$K:$K,$C80,'Journal Entries'!$C:$C,"&lt;="&amp;AG$8,'Journal Entries'!$C:$C,"&gt;"&amp;AF$8)</f>
        <v>0</v>
      </c>
      <c r="AH80" s="43">
        <f>SUMIFS('Journal Entries'!$L:$L,'Journal Entries'!$K:$K,$C80,'Journal Entries'!$C:$C,"&lt;="&amp;AH$8,'Journal Entries'!$C:$C,"&gt;"&amp;AG$8)</f>
        <v>0</v>
      </c>
      <c r="AI80" s="43">
        <f>SUMIFS('Journal Entries'!$L:$L,'Journal Entries'!$K:$K,$C80,'Journal Entries'!$C:$C,"&lt;="&amp;AI$8,'Journal Entries'!$C:$C,"&gt;"&amp;AH$8)</f>
        <v>0</v>
      </c>
      <c r="AJ80" s="43">
        <f>SUMIFS('Journal Entries'!$L:$L,'Journal Entries'!$K:$K,$C80,'Journal Entries'!$C:$C,"&lt;="&amp;AJ$8,'Journal Entries'!$C:$C,"&gt;"&amp;AI$8)</f>
        <v>0</v>
      </c>
      <c r="AK80" s="43">
        <f>SUMIFS('Journal Entries'!$L:$L,'Journal Entries'!$K:$K,$C80,'Journal Entries'!$C:$C,"&lt;="&amp;AK$8,'Journal Entries'!$C:$C,"&gt;"&amp;AJ$8)</f>
        <v>0</v>
      </c>
      <c r="AL80" s="43">
        <f>SUMIFS('Journal Entries'!$L:$L,'Journal Entries'!$K:$K,$C80,'Journal Entries'!$C:$C,"&lt;="&amp;AL$8,'Journal Entries'!$C:$C,"&gt;"&amp;AK$8)</f>
        <v>0</v>
      </c>
      <c r="AM80" s="43">
        <f>SUMIFS('Journal Entries'!$L:$L,'Journal Entries'!$K:$K,$C80,'Journal Entries'!$C:$C,"&lt;="&amp;AM$8,'Journal Entries'!$C:$C,"&gt;"&amp;AL$8)</f>
        <v>0</v>
      </c>
      <c r="AN80" s="43">
        <f>SUMIFS('Journal Entries'!$L:$L,'Journal Entries'!$K:$K,$C80,'Journal Entries'!$C:$C,"&lt;="&amp;AN$8,'Journal Entries'!$C:$C,"&gt;"&amp;AM$8)</f>
        <v>0</v>
      </c>
      <c r="AO80" s="43">
        <f>SUMIFS('Journal Entries'!$L:$L,'Journal Entries'!$K:$K,$C80,'Journal Entries'!$C:$C,"&lt;="&amp;AO$8,'Journal Entries'!$C:$C,"&gt;"&amp;AN$8)</f>
        <v>0</v>
      </c>
      <c r="AP80" s="43">
        <f>SUMIFS('Journal Entries'!$L:$L,'Journal Entries'!$K:$K,$C80,'Journal Entries'!$C:$C,"&lt;="&amp;AP$8,'Journal Entries'!$C:$C,"&gt;"&amp;AO$8)</f>
        <v>0</v>
      </c>
      <c r="AQ80" s="43">
        <f>SUMIFS('Journal Entries'!$L:$L,'Journal Entries'!$K:$K,$C80,'Journal Entries'!$C:$C,"&lt;="&amp;AQ$8,'Journal Entries'!$C:$C,"&gt;"&amp;AP$8)</f>
        <v>0</v>
      </c>
      <c r="AR80" s="43">
        <f>SUMIFS('Journal Entries'!$L:$L,'Journal Entries'!$K:$K,$C80,'Journal Entries'!$C:$C,"&lt;="&amp;AR$8,'Journal Entries'!$C:$C,"&gt;"&amp;AQ$8)</f>
        <v>0</v>
      </c>
      <c r="AS80" s="43">
        <f>SUMIFS('Journal Entries'!$L:$L,'Journal Entries'!$K:$K,$C80,'Journal Entries'!$C:$C,"&lt;="&amp;AS$8,'Journal Entries'!$C:$C,"&gt;"&amp;AR$8)</f>
        <v>0</v>
      </c>
      <c r="AT80" s="43">
        <f>SUMIFS('Journal Entries'!$L:$L,'Journal Entries'!$K:$K,$C80,'Journal Entries'!$C:$C,"&lt;="&amp;AT$8,'Journal Entries'!$C:$C,"&gt;"&amp;AS$8)</f>
        <v>0</v>
      </c>
      <c r="AU80" s="43">
        <f>SUMIFS('Journal Entries'!$L:$L,'Journal Entries'!$K:$K,$C80,'Journal Entries'!$C:$C,"&lt;="&amp;AU$8,'Journal Entries'!$C:$C,"&gt;"&amp;AT$8)</f>
        <v>0</v>
      </c>
      <c r="AV80" s="43">
        <f>SUMIFS('Journal Entries'!$L:$L,'Journal Entries'!$K:$K,$C80,'Journal Entries'!$C:$C,"&lt;="&amp;AV$8,'Journal Entries'!$C:$C,"&gt;"&amp;AU$8)</f>
        <v>0</v>
      </c>
      <c r="AW80" s="43">
        <f>SUMIFS('Journal Entries'!$L:$L,'Journal Entries'!$K:$K,$C80,'Journal Entries'!$C:$C,"&lt;="&amp;AW$8,'Journal Entries'!$C:$C,"&gt;"&amp;AV$8)</f>
        <v>0</v>
      </c>
      <c r="AX80" s="43">
        <f>SUMIFS('Journal Entries'!$L:$L,'Journal Entries'!$K:$K,$C80,'Journal Entries'!$C:$C,"&lt;="&amp;AX$8,'Journal Entries'!$C:$C,"&gt;"&amp;AW$8)</f>
        <v>0</v>
      </c>
      <c r="AY80" s="43">
        <f>SUMIFS('Journal Entries'!$L:$L,'Journal Entries'!$K:$K,$C80,'Journal Entries'!$C:$C,"&lt;="&amp;AY$8,'Journal Entries'!$C:$C,"&gt;"&amp;AX$8)</f>
        <v>0</v>
      </c>
      <c r="AZ80" s="43">
        <f>SUMIFS('Journal Entries'!$L:$L,'Journal Entries'!$K:$K,$C80,'Journal Entries'!$C:$C,"&lt;="&amp;AZ$8,'Journal Entries'!$C:$C,"&gt;"&amp;AY$8)</f>
        <v>0</v>
      </c>
      <c r="BA80" s="43">
        <f>SUMIFS('Journal Entries'!$L:$L,'Journal Entries'!$K:$K,$C80,'Journal Entries'!$C:$C,"&lt;="&amp;BA$8,'Journal Entries'!$C:$C,"&gt;"&amp;AZ$8)</f>
        <v>0</v>
      </c>
      <c r="BB80" s="43">
        <f>SUMIFS('Journal Entries'!$L:$L,'Journal Entries'!$K:$K,$C80,'Journal Entries'!$C:$C,"&lt;="&amp;BB$8,'Journal Entries'!$C:$C,"&gt;"&amp;BA$8)</f>
        <v>0</v>
      </c>
      <c r="BC80" s="43">
        <f>SUMIFS('Journal Entries'!$L:$L,'Journal Entries'!$K:$K,$C80,'Journal Entries'!$C:$C,"&lt;="&amp;BC$8,'Journal Entries'!$C:$C,"&gt;"&amp;BB$8)</f>
        <v>0</v>
      </c>
      <c r="BD80" s="43">
        <f>SUMIFS('Journal Entries'!$L:$L,'Journal Entries'!$K:$K,$C80,'Journal Entries'!$C:$C,"&lt;="&amp;BD$8,'Journal Entries'!$C:$C,"&gt;"&amp;BC$8)</f>
        <v>0</v>
      </c>
      <c r="BE80" s="43">
        <f>SUMIFS('Journal Entries'!$L:$L,'Journal Entries'!$K:$K,$C80,'Journal Entries'!$C:$C,"&lt;="&amp;BE$8,'Journal Entries'!$C:$C,"&gt;"&amp;BD$8)</f>
        <v>0</v>
      </c>
      <c r="BF80" s="43">
        <f>SUMIFS('Journal Entries'!$L:$L,'Journal Entries'!$K:$K,$C80,'Journal Entries'!$C:$C,"&lt;="&amp;BF$8,'Journal Entries'!$C:$C,"&gt;"&amp;BE$8)</f>
        <v>0</v>
      </c>
      <c r="BG80" s="43">
        <f>SUMIFS('Journal Entries'!$L:$L,'Journal Entries'!$K:$K,$C80,'Journal Entries'!$C:$C,"&lt;="&amp;BG$8,'Journal Entries'!$C:$C,"&gt;"&amp;BF$8)</f>
        <v>0</v>
      </c>
      <c r="BH80" s="43">
        <f>SUMIFS('Journal Entries'!$L:$L,'Journal Entries'!$K:$K,$C80,'Journal Entries'!$C:$C,"&lt;="&amp;BH$8,'Journal Entries'!$C:$C,"&gt;"&amp;BG$8)</f>
        <v>0</v>
      </c>
      <c r="BI80" s="43">
        <f>SUMIFS('Journal Entries'!$L:$L,'Journal Entries'!$K:$K,$C80,'Journal Entries'!$C:$C,"&lt;="&amp;BI$8,'Journal Entries'!$C:$C,"&gt;"&amp;BH$8)</f>
        <v>0</v>
      </c>
      <c r="BJ80" s="43">
        <f>SUMIFS('Journal Entries'!$L:$L,'Journal Entries'!$K:$K,$C80,'Journal Entries'!$C:$C,"&lt;="&amp;BJ$8,'Journal Entries'!$C:$C,"&gt;"&amp;BI$8)</f>
        <v>0</v>
      </c>
      <c r="BK80" s="43">
        <f>SUMIFS('Journal Entries'!$L:$L,'Journal Entries'!$K:$K,$C80,'Journal Entries'!$C:$C,"&lt;="&amp;BK$8,'Journal Entries'!$C:$C,"&gt;"&amp;BJ$8)</f>
        <v>0</v>
      </c>
      <c r="BL80" s="43">
        <f>SUMIFS('Journal Entries'!$L:$L,'Journal Entries'!$K:$K,$C80,'Journal Entries'!$C:$C,"&lt;="&amp;BL$8,'Journal Entries'!$C:$C,"&gt;"&amp;BK$8)</f>
        <v>0</v>
      </c>
    </row>
    <row r="81" spans="2:64" x14ac:dyDescent="0.25">
      <c r="B81" s="10">
        <v>6020</v>
      </c>
      <c r="C81" s="10" t="str">
        <f>VLOOKUP(B81,'Chart of Accounts'!$B$3:$C$95,2,0)</f>
        <v>Realized gains/losses from foreign currency transactions</v>
      </c>
      <c r="D81" s="525">
        <f t="shared" si="3"/>
        <v>0</v>
      </c>
      <c r="E81" s="43">
        <f>SUMIFS('Journal Entries'!$L:$L,'Journal Entries'!$K:$K,$C81,'Journal Entries'!$C:$C,"&lt;="&amp;E$8,'Journal Entries'!$C:$C,"&gt;"&amp;D$8)</f>
        <v>0</v>
      </c>
      <c r="F81" s="43">
        <f>SUMIFS('Journal Entries'!$L:$L,'Journal Entries'!$K:$K,$C81,'Journal Entries'!$C:$C,"&lt;="&amp;F$8,'Journal Entries'!$C:$C,"&gt;"&amp;E$8)</f>
        <v>0</v>
      </c>
      <c r="G81" s="43">
        <f>SUMIFS('Journal Entries'!$L:$L,'Journal Entries'!$K:$K,$C81,'Journal Entries'!$C:$C,"&lt;="&amp;G$8,'Journal Entries'!$C:$C,"&gt;"&amp;F$8)</f>
        <v>0</v>
      </c>
      <c r="H81" s="43">
        <f>SUMIFS('Journal Entries'!$L:$L,'Journal Entries'!$K:$K,$C81,'Journal Entries'!$C:$C,"&lt;="&amp;H$8,'Journal Entries'!$C:$C,"&gt;"&amp;G$8)</f>
        <v>0</v>
      </c>
      <c r="I81" s="43">
        <f>SUMIFS('Journal Entries'!$L:$L,'Journal Entries'!$K:$K,$C81,'Journal Entries'!$C:$C,"&lt;="&amp;I$8,'Journal Entries'!$C:$C,"&gt;"&amp;H$8)</f>
        <v>0</v>
      </c>
      <c r="J81" s="43">
        <f>SUMIFS('Journal Entries'!$L:$L,'Journal Entries'!$K:$K,$C81,'Journal Entries'!$C:$C,"&lt;="&amp;J$8,'Journal Entries'!$C:$C,"&gt;"&amp;I$8)</f>
        <v>0</v>
      </c>
      <c r="K81" s="43">
        <f>SUMIFS('Journal Entries'!$L:$L,'Journal Entries'!$K:$K,$C81,'Journal Entries'!$C:$C,"&lt;="&amp;K$8,'Journal Entries'!$C:$C,"&gt;"&amp;J$8)</f>
        <v>0</v>
      </c>
      <c r="L81" s="43">
        <f>SUMIFS('Journal Entries'!$L:$L,'Journal Entries'!$K:$K,$C81,'Journal Entries'!$C:$C,"&lt;="&amp;L$8,'Journal Entries'!$C:$C,"&gt;"&amp;K$8)</f>
        <v>0</v>
      </c>
      <c r="M81" s="43">
        <f>SUMIFS('Journal Entries'!$L:$L,'Journal Entries'!$K:$K,$C81,'Journal Entries'!$C:$C,"&lt;="&amp;M$8,'Journal Entries'!$C:$C,"&gt;"&amp;L$8)</f>
        <v>0</v>
      </c>
      <c r="N81" s="43">
        <f>SUMIFS('Journal Entries'!$L:$L,'Journal Entries'!$K:$K,$C81,'Journal Entries'!$C:$C,"&lt;="&amp;N$8,'Journal Entries'!$C:$C,"&gt;"&amp;M$8)</f>
        <v>0</v>
      </c>
      <c r="O81" s="43">
        <f>SUMIFS('Journal Entries'!$L:$L,'Journal Entries'!$K:$K,$C81,'Journal Entries'!$C:$C,"&lt;="&amp;O$8,'Journal Entries'!$C:$C,"&gt;"&amp;N$8)</f>
        <v>0</v>
      </c>
      <c r="P81" s="43">
        <f>SUMIFS('Journal Entries'!$L:$L,'Journal Entries'!$K:$K,$C81,'Journal Entries'!$C:$C,"&lt;="&amp;P$8,'Journal Entries'!$C:$C,"&gt;"&amp;O$8)</f>
        <v>0</v>
      </c>
      <c r="Q81" s="43">
        <f>SUMIFS('Journal Entries'!$L:$L,'Journal Entries'!$K:$K,$C81,'Journal Entries'!$C:$C,"&lt;="&amp;Q$8,'Journal Entries'!$C:$C,"&gt;"&amp;P$8)</f>
        <v>0</v>
      </c>
      <c r="R81" s="43">
        <f>SUMIFS('Journal Entries'!$L:$L,'Journal Entries'!$K:$K,$C81,'Journal Entries'!$C:$C,"&lt;="&amp;R$8,'Journal Entries'!$C:$C,"&gt;"&amp;Q$8)</f>
        <v>0</v>
      </c>
      <c r="S81" s="43">
        <f>SUMIFS('Journal Entries'!$L:$L,'Journal Entries'!$K:$K,$C81,'Journal Entries'!$C:$C,"&lt;="&amp;S$8,'Journal Entries'!$C:$C,"&gt;"&amp;R$8)</f>
        <v>0</v>
      </c>
      <c r="T81" s="43">
        <f>SUMIFS('Journal Entries'!$L:$L,'Journal Entries'!$K:$K,$C81,'Journal Entries'!$C:$C,"&lt;="&amp;T$8,'Journal Entries'!$C:$C,"&gt;"&amp;S$8)</f>
        <v>0</v>
      </c>
      <c r="U81" s="43">
        <f>SUMIFS('Journal Entries'!$L:$L,'Journal Entries'!$K:$K,$C81,'Journal Entries'!$C:$C,"&lt;="&amp;U$8,'Journal Entries'!$C:$C,"&gt;"&amp;T$8)</f>
        <v>0</v>
      </c>
      <c r="V81" s="43">
        <f>SUMIFS('Journal Entries'!$L:$L,'Journal Entries'!$K:$K,$C81,'Journal Entries'!$C:$C,"&lt;="&amp;V$8,'Journal Entries'!$C:$C,"&gt;"&amp;U$8)</f>
        <v>0</v>
      </c>
      <c r="W81" s="43">
        <f>SUMIFS('Journal Entries'!$L:$L,'Journal Entries'!$K:$K,$C81,'Journal Entries'!$C:$C,"&lt;="&amp;W$8,'Journal Entries'!$C:$C,"&gt;"&amp;V$8)</f>
        <v>0</v>
      </c>
      <c r="X81" s="43">
        <f>SUMIFS('Journal Entries'!$L:$L,'Journal Entries'!$K:$K,$C81,'Journal Entries'!$C:$C,"&lt;="&amp;X$8,'Journal Entries'!$C:$C,"&gt;"&amp;W$8)</f>
        <v>0</v>
      </c>
      <c r="Y81" s="43">
        <f>SUMIFS('Journal Entries'!$L:$L,'Journal Entries'!$K:$K,$C81,'Journal Entries'!$C:$C,"&lt;="&amp;Y$8,'Journal Entries'!$C:$C,"&gt;"&amp;X$8)</f>
        <v>0</v>
      </c>
      <c r="Z81" s="43">
        <f>SUMIFS('Journal Entries'!$L:$L,'Journal Entries'!$K:$K,$C81,'Journal Entries'!$C:$C,"&lt;="&amp;Z$8,'Journal Entries'!$C:$C,"&gt;"&amp;Y$8)</f>
        <v>0</v>
      </c>
      <c r="AA81" s="43">
        <f>SUMIFS('Journal Entries'!$L:$L,'Journal Entries'!$K:$K,$C81,'Journal Entries'!$C:$C,"&lt;="&amp;AA$8,'Journal Entries'!$C:$C,"&gt;"&amp;Z$8)</f>
        <v>0</v>
      </c>
      <c r="AB81" s="43">
        <f>SUMIFS('Journal Entries'!$L:$L,'Journal Entries'!$K:$K,$C81,'Journal Entries'!$C:$C,"&lt;="&amp;AB$8,'Journal Entries'!$C:$C,"&gt;"&amp;AA$8)</f>
        <v>0</v>
      </c>
      <c r="AC81" s="43">
        <f>SUMIFS('Journal Entries'!$L:$L,'Journal Entries'!$K:$K,$C81,'Journal Entries'!$C:$C,"&lt;="&amp;AC$8,'Journal Entries'!$C:$C,"&gt;"&amp;AB$8)</f>
        <v>0</v>
      </c>
      <c r="AD81" s="43">
        <f>SUMIFS('Journal Entries'!$L:$L,'Journal Entries'!$K:$K,$C81,'Journal Entries'!$C:$C,"&lt;="&amp;AD$8,'Journal Entries'!$C:$C,"&gt;"&amp;AC$8)</f>
        <v>0</v>
      </c>
      <c r="AE81" s="43">
        <f>SUMIFS('Journal Entries'!$L:$L,'Journal Entries'!$K:$K,$C81,'Journal Entries'!$C:$C,"&lt;="&amp;AE$8,'Journal Entries'!$C:$C,"&gt;"&amp;AD$8)</f>
        <v>0</v>
      </c>
      <c r="AF81" s="43">
        <f>SUMIFS('Journal Entries'!$L:$L,'Journal Entries'!$K:$K,$C81,'Journal Entries'!$C:$C,"&lt;="&amp;AF$8,'Journal Entries'!$C:$C,"&gt;"&amp;AE$8)</f>
        <v>0</v>
      </c>
      <c r="AG81" s="43">
        <f>SUMIFS('Journal Entries'!$L:$L,'Journal Entries'!$K:$K,$C81,'Journal Entries'!$C:$C,"&lt;="&amp;AG$8,'Journal Entries'!$C:$C,"&gt;"&amp;AF$8)</f>
        <v>0</v>
      </c>
      <c r="AH81" s="43">
        <f>SUMIFS('Journal Entries'!$L:$L,'Journal Entries'!$K:$K,$C81,'Journal Entries'!$C:$C,"&lt;="&amp;AH$8,'Journal Entries'!$C:$C,"&gt;"&amp;AG$8)</f>
        <v>0</v>
      </c>
      <c r="AI81" s="43">
        <f>SUMIFS('Journal Entries'!$L:$L,'Journal Entries'!$K:$K,$C81,'Journal Entries'!$C:$C,"&lt;="&amp;AI$8,'Journal Entries'!$C:$C,"&gt;"&amp;AH$8)</f>
        <v>0</v>
      </c>
      <c r="AJ81" s="43">
        <f>SUMIFS('Journal Entries'!$L:$L,'Journal Entries'!$K:$K,$C81,'Journal Entries'!$C:$C,"&lt;="&amp;AJ$8,'Journal Entries'!$C:$C,"&gt;"&amp;AI$8)</f>
        <v>0</v>
      </c>
      <c r="AK81" s="43">
        <f>SUMIFS('Journal Entries'!$L:$L,'Journal Entries'!$K:$K,$C81,'Journal Entries'!$C:$C,"&lt;="&amp;AK$8,'Journal Entries'!$C:$C,"&gt;"&amp;AJ$8)</f>
        <v>0</v>
      </c>
      <c r="AL81" s="43">
        <f>SUMIFS('Journal Entries'!$L:$L,'Journal Entries'!$K:$K,$C81,'Journal Entries'!$C:$C,"&lt;="&amp;AL$8,'Journal Entries'!$C:$C,"&gt;"&amp;AK$8)</f>
        <v>0</v>
      </c>
      <c r="AM81" s="43">
        <f>SUMIFS('Journal Entries'!$L:$L,'Journal Entries'!$K:$K,$C81,'Journal Entries'!$C:$C,"&lt;="&amp;AM$8,'Journal Entries'!$C:$C,"&gt;"&amp;AL$8)</f>
        <v>0</v>
      </c>
      <c r="AN81" s="43">
        <f>SUMIFS('Journal Entries'!$L:$L,'Journal Entries'!$K:$K,$C81,'Journal Entries'!$C:$C,"&lt;="&amp;AN$8,'Journal Entries'!$C:$C,"&gt;"&amp;AM$8)</f>
        <v>0</v>
      </c>
      <c r="AO81" s="43">
        <f>SUMIFS('Journal Entries'!$L:$L,'Journal Entries'!$K:$K,$C81,'Journal Entries'!$C:$C,"&lt;="&amp;AO$8,'Journal Entries'!$C:$C,"&gt;"&amp;AN$8)</f>
        <v>0</v>
      </c>
      <c r="AP81" s="43">
        <f>SUMIFS('Journal Entries'!$L:$L,'Journal Entries'!$K:$K,$C81,'Journal Entries'!$C:$C,"&lt;="&amp;AP$8,'Journal Entries'!$C:$C,"&gt;"&amp;AO$8)</f>
        <v>0</v>
      </c>
      <c r="AQ81" s="43">
        <f>SUMIFS('Journal Entries'!$L:$L,'Journal Entries'!$K:$K,$C81,'Journal Entries'!$C:$C,"&lt;="&amp;AQ$8,'Journal Entries'!$C:$C,"&gt;"&amp;AP$8)</f>
        <v>0</v>
      </c>
      <c r="AR81" s="43">
        <f>SUMIFS('Journal Entries'!$L:$L,'Journal Entries'!$K:$K,$C81,'Journal Entries'!$C:$C,"&lt;="&amp;AR$8,'Journal Entries'!$C:$C,"&gt;"&amp;AQ$8)</f>
        <v>0</v>
      </c>
      <c r="AS81" s="43">
        <f>SUMIFS('Journal Entries'!$L:$L,'Journal Entries'!$K:$K,$C81,'Journal Entries'!$C:$C,"&lt;="&amp;AS$8,'Journal Entries'!$C:$C,"&gt;"&amp;AR$8)</f>
        <v>0</v>
      </c>
      <c r="AT81" s="43">
        <f>SUMIFS('Journal Entries'!$L:$L,'Journal Entries'!$K:$K,$C81,'Journal Entries'!$C:$C,"&lt;="&amp;AT$8,'Journal Entries'!$C:$C,"&gt;"&amp;AS$8)</f>
        <v>0</v>
      </c>
      <c r="AU81" s="43">
        <f>SUMIFS('Journal Entries'!$L:$L,'Journal Entries'!$K:$K,$C81,'Journal Entries'!$C:$C,"&lt;="&amp;AU$8,'Journal Entries'!$C:$C,"&gt;"&amp;AT$8)</f>
        <v>0</v>
      </c>
      <c r="AV81" s="43">
        <f>SUMIFS('Journal Entries'!$L:$L,'Journal Entries'!$K:$K,$C81,'Journal Entries'!$C:$C,"&lt;="&amp;AV$8,'Journal Entries'!$C:$C,"&gt;"&amp;AU$8)</f>
        <v>0</v>
      </c>
      <c r="AW81" s="43">
        <f>SUMIFS('Journal Entries'!$L:$L,'Journal Entries'!$K:$K,$C81,'Journal Entries'!$C:$C,"&lt;="&amp;AW$8,'Journal Entries'!$C:$C,"&gt;"&amp;AV$8)</f>
        <v>0</v>
      </c>
      <c r="AX81" s="43">
        <f>SUMIFS('Journal Entries'!$L:$L,'Journal Entries'!$K:$K,$C81,'Journal Entries'!$C:$C,"&lt;="&amp;AX$8,'Journal Entries'!$C:$C,"&gt;"&amp;AW$8)</f>
        <v>0</v>
      </c>
      <c r="AY81" s="43">
        <f>SUMIFS('Journal Entries'!$L:$L,'Journal Entries'!$K:$K,$C81,'Journal Entries'!$C:$C,"&lt;="&amp;AY$8,'Journal Entries'!$C:$C,"&gt;"&amp;AX$8)</f>
        <v>0</v>
      </c>
      <c r="AZ81" s="43">
        <f>SUMIFS('Journal Entries'!$L:$L,'Journal Entries'!$K:$K,$C81,'Journal Entries'!$C:$C,"&lt;="&amp;AZ$8,'Journal Entries'!$C:$C,"&gt;"&amp;AY$8)</f>
        <v>0</v>
      </c>
      <c r="BA81" s="43">
        <f>SUMIFS('Journal Entries'!$L:$L,'Journal Entries'!$K:$K,$C81,'Journal Entries'!$C:$C,"&lt;="&amp;BA$8,'Journal Entries'!$C:$C,"&gt;"&amp;AZ$8)</f>
        <v>0</v>
      </c>
      <c r="BB81" s="43">
        <f>SUMIFS('Journal Entries'!$L:$L,'Journal Entries'!$K:$K,$C81,'Journal Entries'!$C:$C,"&lt;="&amp;BB$8,'Journal Entries'!$C:$C,"&gt;"&amp;BA$8)</f>
        <v>0</v>
      </c>
      <c r="BC81" s="43">
        <f>SUMIFS('Journal Entries'!$L:$L,'Journal Entries'!$K:$K,$C81,'Journal Entries'!$C:$C,"&lt;="&amp;BC$8,'Journal Entries'!$C:$C,"&gt;"&amp;BB$8)</f>
        <v>0</v>
      </c>
      <c r="BD81" s="43">
        <f>SUMIFS('Journal Entries'!$L:$L,'Journal Entries'!$K:$K,$C81,'Journal Entries'!$C:$C,"&lt;="&amp;BD$8,'Journal Entries'!$C:$C,"&gt;"&amp;BC$8)</f>
        <v>0</v>
      </c>
      <c r="BE81" s="43">
        <f>SUMIFS('Journal Entries'!$L:$L,'Journal Entries'!$K:$K,$C81,'Journal Entries'!$C:$C,"&lt;="&amp;BE$8,'Journal Entries'!$C:$C,"&gt;"&amp;BD$8)</f>
        <v>0</v>
      </c>
      <c r="BF81" s="43">
        <f>SUMIFS('Journal Entries'!$L:$L,'Journal Entries'!$K:$K,$C81,'Journal Entries'!$C:$C,"&lt;="&amp;BF$8,'Journal Entries'!$C:$C,"&gt;"&amp;BE$8)</f>
        <v>0</v>
      </c>
      <c r="BG81" s="43">
        <f>SUMIFS('Journal Entries'!$L:$L,'Journal Entries'!$K:$K,$C81,'Journal Entries'!$C:$C,"&lt;="&amp;BG$8,'Journal Entries'!$C:$C,"&gt;"&amp;BF$8)</f>
        <v>0</v>
      </c>
      <c r="BH81" s="43">
        <f>SUMIFS('Journal Entries'!$L:$L,'Journal Entries'!$K:$K,$C81,'Journal Entries'!$C:$C,"&lt;="&amp;BH$8,'Journal Entries'!$C:$C,"&gt;"&amp;BG$8)</f>
        <v>0</v>
      </c>
      <c r="BI81" s="43">
        <f>SUMIFS('Journal Entries'!$L:$L,'Journal Entries'!$K:$K,$C81,'Journal Entries'!$C:$C,"&lt;="&amp;BI$8,'Journal Entries'!$C:$C,"&gt;"&amp;BH$8)</f>
        <v>0</v>
      </c>
      <c r="BJ81" s="43">
        <f>SUMIFS('Journal Entries'!$L:$L,'Journal Entries'!$K:$K,$C81,'Journal Entries'!$C:$C,"&lt;="&amp;BJ$8,'Journal Entries'!$C:$C,"&gt;"&amp;BI$8)</f>
        <v>0</v>
      </c>
      <c r="BK81" s="43">
        <f>SUMIFS('Journal Entries'!$L:$L,'Journal Entries'!$K:$K,$C81,'Journal Entries'!$C:$C,"&lt;="&amp;BK$8,'Journal Entries'!$C:$C,"&gt;"&amp;BJ$8)</f>
        <v>0</v>
      </c>
      <c r="BL81" s="43">
        <f>SUMIFS('Journal Entries'!$L:$L,'Journal Entries'!$K:$K,$C81,'Journal Entries'!$C:$C,"&lt;="&amp;BL$8,'Journal Entries'!$C:$C,"&gt;"&amp;BK$8)</f>
        <v>0</v>
      </c>
    </row>
    <row r="82" spans="2:64" x14ac:dyDescent="0.25">
      <c r="B82" s="10">
        <v>6030</v>
      </c>
      <c r="C82" s="10" t="str">
        <f>VLOOKUP(B82,'Chart of Accounts'!$B$3:$C$95,2,0)</f>
        <v>Unrealized gains/losses on translation of assets and liabilities</v>
      </c>
      <c r="D82" s="525">
        <f t="shared" ref="D82" si="4">SUM(E82:P82)</f>
        <v>0</v>
      </c>
      <c r="E82" s="43">
        <f>SUMIFS('Journal Entries'!$L:$L,'Journal Entries'!$K:$K,$C82,'Journal Entries'!$C:$C,"&lt;="&amp;E$8,'Journal Entries'!$C:$C,"&gt;"&amp;D$8)</f>
        <v>0</v>
      </c>
      <c r="F82" s="43">
        <f>SUMIFS('Journal Entries'!$L:$L,'Journal Entries'!$K:$K,$C82,'Journal Entries'!$C:$C,"&lt;="&amp;F$8,'Journal Entries'!$C:$C,"&gt;"&amp;E$8)</f>
        <v>0</v>
      </c>
      <c r="G82" s="43">
        <f>SUMIFS('Journal Entries'!$L:$L,'Journal Entries'!$K:$K,$C82,'Journal Entries'!$C:$C,"&lt;="&amp;G$8,'Journal Entries'!$C:$C,"&gt;"&amp;F$8)</f>
        <v>0</v>
      </c>
      <c r="H82" s="43">
        <f>SUMIFS('Journal Entries'!$L:$L,'Journal Entries'!$K:$K,$C82,'Journal Entries'!$C:$C,"&lt;="&amp;H$8,'Journal Entries'!$C:$C,"&gt;"&amp;G$8)</f>
        <v>0</v>
      </c>
      <c r="I82" s="43">
        <f>SUMIFS('Journal Entries'!$L:$L,'Journal Entries'!$K:$K,$C82,'Journal Entries'!$C:$C,"&lt;="&amp;I$8,'Journal Entries'!$C:$C,"&gt;"&amp;H$8)</f>
        <v>0</v>
      </c>
      <c r="J82" s="43">
        <f>SUMIFS('Journal Entries'!$L:$L,'Journal Entries'!$K:$K,$C82,'Journal Entries'!$C:$C,"&lt;="&amp;J$8,'Journal Entries'!$C:$C,"&gt;"&amp;I$8)</f>
        <v>0</v>
      </c>
      <c r="K82" s="43">
        <f>SUMIFS('Journal Entries'!$L:$L,'Journal Entries'!$K:$K,$C82,'Journal Entries'!$C:$C,"&lt;="&amp;K$8,'Journal Entries'!$C:$C,"&gt;"&amp;J$8)</f>
        <v>0</v>
      </c>
      <c r="L82" s="43">
        <f>SUMIFS('Journal Entries'!$L:$L,'Journal Entries'!$K:$K,$C82,'Journal Entries'!$C:$C,"&lt;="&amp;L$8,'Journal Entries'!$C:$C,"&gt;"&amp;K$8)</f>
        <v>0</v>
      </c>
      <c r="M82" s="43">
        <f>SUMIFS('Journal Entries'!$L:$L,'Journal Entries'!$K:$K,$C82,'Journal Entries'!$C:$C,"&lt;="&amp;M$8,'Journal Entries'!$C:$C,"&gt;"&amp;L$8)</f>
        <v>0</v>
      </c>
      <c r="N82" s="43">
        <f>SUMIFS('Journal Entries'!$L:$L,'Journal Entries'!$K:$K,$C82,'Journal Entries'!$C:$C,"&lt;="&amp;N$8,'Journal Entries'!$C:$C,"&gt;"&amp;M$8)</f>
        <v>0</v>
      </c>
      <c r="O82" s="43">
        <f>SUMIFS('Journal Entries'!$L:$L,'Journal Entries'!$K:$K,$C82,'Journal Entries'!$C:$C,"&lt;="&amp;O$8,'Journal Entries'!$C:$C,"&gt;"&amp;N$8)</f>
        <v>0</v>
      </c>
      <c r="P82" s="43">
        <f>SUMIFS('Journal Entries'!$L:$L,'Journal Entries'!$K:$K,$C82,'Journal Entries'!$C:$C,"&lt;="&amp;P$8,'Journal Entries'!$C:$C,"&gt;"&amp;O$8)</f>
        <v>0</v>
      </c>
      <c r="Q82" s="43">
        <f>SUMIFS('Journal Entries'!$L:$L,'Journal Entries'!$K:$K,$C82,'Journal Entries'!$C:$C,"&lt;="&amp;Q$8,'Journal Entries'!$C:$C,"&gt;"&amp;P$8)</f>
        <v>0</v>
      </c>
      <c r="R82" s="43">
        <f>SUMIFS('Journal Entries'!$L:$L,'Journal Entries'!$K:$K,$C82,'Journal Entries'!$C:$C,"&lt;="&amp;R$8,'Journal Entries'!$C:$C,"&gt;"&amp;Q$8)</f>
        <v>0</v>
      </c>
      <c r="S82" s="43">
        <f>SUMIFS('Journal Entries'!$L:$L,'Journal Entries'!$K:$K,$C82,'Journal Entries'!$C:$C,"&lt;="&amp;S$8,'Journal Entries'!$C:$C,"&gt;"&amp;R$8)</f>
        <v>0</v>
      </c>
      <c r="T82" s="43">
        <f>SUMIFS('Journal Entries'!$L:$L,'Journal Entries'!$K:$K,$C82,'Journal Entries'!$C:$C,"&lt;="&amp;T$8,'Journal Entries'!$C:$C,"&gt;"&amp;S$8)</f>
        <v>0</v>
      </c>
      <c r="U82" s="43">
        <f>SUMIFS('Journal Entries'!$L:$L,'Journal Entries'!$K:$K,$C82,'Journal Entries'!$C:$C,"&lt;="&amp;U$8,'Journal Entries'!$C:$C,"&gt;"&amp;T$8)</f>
        <v>0</v>
      </c>
      <c r="V82" s="43">
        <f>SUMIFS('Journal Entries'!$L:$L,'Journal Entries'!$K:$K,$C82,'Journal Entries'!$C:$C,"&lt;="&amp;V$8,'Journal Entries'!$C:$C,"&gt;"&amp;U$8)</f>
        <v>0</v>
      </c>
      <c r="W82" s="43">
        <f>SUMIFS('Journal Entries'!$L:$L,'Journal Entries'!$K:$K,$C82,'Journal Entries'!$C:$C,"&lt;="&amp;W$8,'Journal Entries'!$C:$C,"&gt;"&amp;V$8)</f>
        <v>0</v>
      </c>
      <c r="X82" s="43">
        <f>SUMIFS('Journal Entries'!$L:$L,'Journal Entries'!$K:$K,$C82,'Journal Entries'!$C:$C,"&lt;="&amp;X$8,'Journal Entries'!$C:$C,"&gt;"&amp;W$8)</f>
        <v>0</v>
      </c>
      <c r="Y82" s="43">
        <f>SUMIFS('Journal Entries'!$L:$L,'Journal Entries'!$K:$K,$C82,'Journal Entries'!$C:$C,"&lt;="&amp;Y$8,'Journal Entries'!$C:$C,"&gt;"&amp;X$8)</f>
        <v>0</v>
      </c>
      <c r="Z82" s="43">
        <f>SUMIFS('Journal Entries'!$L:$L,'Journal Entries'!$K:$K,$C82,'Journal Entries'!$C:$C,"&lt;="&amp;Z$8,'Journal Entries'!$C:$C,"&gt;"&amp;Y$8)</f>
        <v>0</v>
      </c>
      <c r="AA82" s="43">
        <f>SUMIFS('Journal Entries'!$L:$L,'Journal Entries'!$K:$K,$C82,'Journal Entries'!$C:$C,"&lt;="&amp;AA$8,'Journal Entries'!$C:$C,"&gt;"&amp;Z$8)</f>
        <v>0</v>
      </c>
      <c r="AB82" s="43">
        <f>SUMIFS('Journal Entries'!$L:$L,'Journal Entries'!$K:$K,$C82,'Journal Entries'!$C:$C,"&lt;="&amp;AB$8,'Journal Entries'!$C:$C,"&gt;"&amp;AA$8)</f>
        <v>0</v>
      </c>
      <c r="AC82" s="43">
        <f>SUMIFS('Journal Entries'!$L:$L,'Journal Entries'!$K:$K,$C82,'Journal Entries'!$C:$C,"&lt;="&amp;AC$8,'Journal Entries'!$C:$C,"&gt;"&amp;AB$8)</f>
        <v>0</v>
      </c>
      <c r="AD82" s="43">
        <f>SUMIFS('Journal Entries'!$L:$L,'Journal Entries'!$K:$K,$C82,'Journal Entries'!$C:$C,"&lt;="&amp;AD$8,'Journal Entries'!$C:$C,"&gt;"&amp;AC$8)</f>
        <v>0</v>
      </c>
      <c r="AE82" s="43">
        <f>SUMIFS('Journal Entries'!$L:$L,'Journal Entries'!$K:$K,$C82,'Journal Entries'!$C:$C,"&lt;="&amp;AE$8,'Journal Entries'!$C:$C,"&gt;"&amp;AD$8)</f>
        <v>0</v>
      </c>
      <c r="AF82" s="43">
        <f>SUMIFS('Journal Entries'!$L:$L,'Journal Entries'!$K:$K,$C82,'Journal Entries'!$C:$C,"&lt;="&amp;AF$8,'Journal Entries'!$C:$C,"&gt;"&amp;AE$8)</f>
        <v>0</v>
      </c>
      <c r="AG82" s="43">
        <f>SUMIFS('Journal Entries'!$L:$L,'Journal Entries'!$K:$K,$C82,'Journal Entries'!$C:$C,"&lt;="&amp;AG$8,'Journal Entries'!$C:$C,"&gt;"&amp;AF$8)</f>
        <v>0</v>
      </c>
      <c r="AH82" s="43">
        <f>SUMIFS('Journal Entries'!$L:$L,'Journal Entries'!$K:$K,$C82,'Journal Entries'!$C:$C,"&lt;="&amp;AH$8,'Journal Entries'!$C:$C,"&gt;"&amp;AG$8)</f>
        <v>0</v>
      </c>
      <c r="AI82" s="43">
        <f>SUMIFS('Journal Entries'!$L:$L,'Journal Entries'!$K:$K,$C82,'Journal Entries'!$C:$C,"&lt;="&amp;AI$8,'Journal Entries'!$C:$C,"&gt;"&amp;AH$8)</f>
        <v>0</v>
      </c>
      <c r="AJ82" s="43">
        <f>SUMIFS('Journal Entries'!$L:$L,'Journal Entries'!$K:$K,$C82,'Journal Entries'!$C:$C,"&lt;="&amp;AJ$8,'Journal Entries'!$C:$C,"&gt;"&amp;AI$8)</f>
        <v>0</v>
      </c>
      <c r="AK82" s="43">
        <f>SUMIFS('Journal Entries'!$L:$L,'Journal Entries'!$K:$K,$C82,'Journal Entries'!$C:$C,"&lt;="&amp;AK$8,'Journal Entries'!$C:$C,"&gt;"&amp;AJ$8)</f>
        <v>0</v>
      </c>
      <c r="AL82" s="43">
        <f>SUMIFS('Journal Entries'!$L:$L,'Journal Entries'!$K:$K,$C82,'Journal Entries'!$C:$C,"&lt;="&amp;AL$8,'Journal Entries'!$C:$C,"&gt;"&amp;AK$8)</f>
        <v>0</v>
      </c>
      <c r="AM82" s="43">
        <f>SUMIFS('Journal Entries'!$L:$L,'Journal Entries'!$K:$K,$C82,'Journal Entries'!$C:$C,"&lt;="&amp;AM$8,'Journal Entries'!$C:$C,"&gt;"&amp;AL$8)</f>
        <v>0</v>
      </c>
      <c r="AN82" s="43">
        <f>SUMIFS('Journal Entries'!$L:$L,'Journal Entries'!$K:$K,$C82,'Journal Entries'!$C:$C,"&lt;="&amp;AN$8,'Journal Entries'!$C:$C,"&gt;"&amp;AM$8)</f>
        <v>0</v>
      </c>
      <c r="AO82" s="43">
        <f>SUMIFS('Journal Entries'!$L:$L,'Journal Entries'!$K:$K,$C82,'Journal Entries'!$C:$C,"&lt;="&amp;AO$8,'Journal Entries'!$C:$C,"&gt;"&amp;AN$8)</f>
        <v>0</v>
      </c>
      <c r="AP82" s="43">
        <f>SUMIFS('Journal Entries'!$L:$L,'Journal Entries'!$K:$K,$C82,'Journal Entries'!$C:$C,"&lt;="&amp;AP$8,'Journal Entries'!$C:$C,"&gt;"&amp;AO$8)</f>
        <v>0</v>
      </c>
      <c r="AQ82" s="43">
        <f>SUMIFS('Journal Entries'!$L:$L,'Journal Entries'!$K:$K,$C82,'Journal Entries'!$C:$C,"&lt;="&amp;AQ$8,'Journal Entries'!$C:$C,"&gt;"&amp;AP$8)</f>
        <v>0</v>
      </c>
      <c r="AR82" s="43">
        <f>SUMIFS('Journal Entries'!$L:$L,'Journal Entries'!$K:$K,$C82,'Journal Entries'!$C:$C,"&lt;="&amp;AR$8,'Journal Entries'!$C:$C,"&gt;"&amp;AQ$8)</f>
        <v>0</v>
      </c>
      <c r="AS82" s="43">
        <f>SUMIFS('Journal Entries'!$L:$L,'Journal Entries'!$K:$K,$C82,'Journal Entries'!$C:$C,"&lt;="&amp;AS$8,'Journal Entries'!$C:$C,"&gt;"&amp;AR$8)</f>
        <v>0</v>
      </c>
      <c r="AT82" s="43">
        <f>SUMIFS('Journal Entries'!$L:$L,'Journal Entries'!$K:$K,$C82,'Journal Entries'!$C:$C,"&lt;="&amp;AT$8,'Journal Entries'!$C:$C,"&gt;"&amp;AS$8)</f>
        <v>0</v>
      </c>
      <c r="AU82" s="43">
        <f>SUMIFS('Journal Entries'!$L:$L,'Journal Entries'!$K:$K,$C82,'Journal Entries'!$C:$C,"&lt;="&amp;AU$8,'Journal Entries'!$C:$C,"&gt;"&amp;AT$8)</f>
        <v>0</v>
      </c>
      <c r="AV82" s="43">
        <f>SUMIFS('Journal Entries'!$L:$L,'Journal Entries'!$K:$K,$C82,'Journal Entries'!$C:$C,"&lt;="&amp;AV$8,'Journal Entries'!$C:$C,"&gt;"&amp;AU$8)</f>
        <v>0</v>
      </c>
      <c r="AW82" s="43">
        <f>SUMIFS('Journal Entries'!$L:$L,'Journal Entries'!$K:$K,$C82,'Journal Entries'!$C:$C,"&lt;="&amp;AW$8,'Journal Entries'!$C:$C,"&gt;"&amp;AV$8)</f>
        <v>0</v>
      </c>
      <c r="AX82" s="43">
        <f>SUMIFS('Journal Entries'!$L:$L,'Journal Entries'!$K:$K,$C82,'Journal Entries'!$C:$C,"&lt;="&amp;AX$8,'Journal Entries'!$C:$C,"&gt;"&amp;AW$8)</f>
        <v>0</v>
      </c>
      <c r="AY82" s="43">
        <f>SUMIFS('Journal Entries'!$L:$L,'Journal Entries'!$K:$K,$C82,'Journal Entries'!$C:$C,"&lt;="&amp;AY$8,'Journal Entries'!$C:$C,"&gt;"&amp;AX$8)</f>
        <v>0</v>
      </c>
      <c r="AZ82" s="43">
        <f>SUMIFS('Journal Entries'!$L:$L,'Journal Entries'!$K:$K,$C82,'Journal Entries'!$C:$C,"&lt;="&amp;AZ$8,'Journal Entries'!$C:$C,"&gt;"&amp;AY$8)</f>
        <v>0</v>
      </c>
      <c r="BA82" s="43">
        <f>SUMIFS('Journal Entries'!$L:$L,'Journal Entries'!$K:$K,$C82,'Journal Entries'!$C:$C,"&lt;="&amp;BA$8,'Journal Entries'!$C:$C,"&gt;"&amp;AZ$8)</f>
        <v>0</v>
      </c>
      <c r="BB82" s="43">
        <f>SUMIFS('Journal Entries'!$L:$L,'Journal Entries'!$K:$K,$C82,'Journal Entries'!$C:$C,"&lt;="&amp;BB$8,'Journal Entries'!$C:$C,"&gt;"&amp;BA$8)</f>
        <v>0</v>
      </c>
      <c r="BC82" s="43">
        <f>SUMIFS('Journal Entries'!$L:$L,'Journal Entries'!$K:$K,$C82,'Journal Entries'!$C:$C,"&lt;="&amp;BC$8,'Journal Entries'!$C:$C,"&gt;"&amp;BB$8)</f>
        <v>0</v>
      </c>
      <c r="BD82" s="43">
        <f>SUMIFS('Journal Entries'!$L:$L,'Journal Entries'!$K:$K,$C82,'Journal Entries'!$C:$C,"&lt;="&amp;BD$8,'Journal Entries'!$C:$C,"&gt;"&amp;BC$8)</f>
        <v>0</v>
      </c>
      <c r="BE82" s="43">
        <f>SUMIFS('Journal Entries'!$L:$L,'Journal Entries'!$K:$K,$C82,'Journal Entries'!$C:$C,"&lt;="&amp;BE$8,'Journal Entries'!$C:$C,"&gt;"&amp;BD$8)</f>
        <v>0</v>
      </c>
      <c r="BF82" s="43">
        <f>SUMIFS('Journal Entries'!$L:$L,'Journal Entries'!$K:$K,$C82,'Journal Entries'!$C:$C,"&lt;="&amp;BF$8,'Journal Entries'!$C:$C,"&gt;"&amp;BE$8)</f>
        <v>0</v>
      </c>
      <c r="BG82" s="43">
        <f>SUMIFS('Journal Entries'!$L:$L,'Journal Entries'!$K:$K,$C82,'Journal Entries'!$C:$C,"&lt;="&amp;BG$8,'Journal Entries'!$C:$C,"&gt;"&amp;BF$8)</f>
        <v>0</v>
      </c>
      <c r="BH82" s="43">
        <f>SUMIFS('Journal Entries'!$L:$L,'Journal Entries'!$K:$K,$C82,'Journal Entries'!$C:$C,"&lt;="&amp;BH$8,'Journal Entries'!$C:$C,"&gt;"&amp;BG$8)</f>
        <v>0</v>
      </c>
      <c r="BI82" s="43">
        <f>SUMIFS('Journal Entries'!$L:$L,'Journal Entries'!$K:$K,$C82,'Journal Entries'!$C:$C,"&lt;="&amp;BI$8,'Journal Entries'!$C:$C,"&gt;"&amp;BH$8)</f>
        <v>0</v>
      </c>
      <c r="BJ82" s="43">
        <f>SUMIFS('Journal Entries'!$L:$L,'Journal Entries'!$K:$K,$C82,'Journal Entries'!$C:$C,"&lt;="&amp;BJ$8,'Journal Entries'!$C:$C,"&gt;"&amp;BI$8)</f>
        <v>0</v>
      </c>
      <c r="BK82" s="43">
        <f>SUMIFS('Journal Entries'!$L:$L,'Journal Entries'!$K:$K,$C82,'Journal Entries'!$C:$C,"&lt;="&amp;BK$8,'Journal Entries'!$C:$C,"&gt;"&amp;BJ$8)</f>
        <v>0</v>
      </c>
      <c r="BL82" s="43">
        <f>SUMIFS('Journal Entries'!$L:$L,'Journal Entries'!$K:$K,$C82,'Journal Entries'!$C:$C,"&lt;="&amp;BL$8,'Journal Entries'!$C:$C,"&gt;"&amp;BK$8)</f>
        <v>0</v>
      </c>
    </row>
  </sheetData>
  <autoFilter ref="A9:BQ82" xr:uid="{1BA08D3B-BB31-407F-9BE4-02233167056B}"/>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BBA7-F8A8-4A0B-A74D-82A10B931A9D}">
  <sheetPr>
    <tabColor theme="7" tint="0.79998168889431442"/>
  </sheetPr>
  <dimension ref="B1:T110"/>
  <sheetViews>
    <sheetView showGridLines="0" view="pageBreakPreview" zoomScale="85" zoomScaleNormal="70" zoomScaleSheetLayoutView="85" workbookViewId="0">
      <pane xSplit="4" ySplit="8" topLeftCell="E9" activePane="bottomRight" state="frozen"/>
      <selection sqref="A1:XFD1048576"/>
      <selection pane="topRight" sqref="A1:XFD1048576"/>
      <selection pane="bottomLeft" sqref="A1:XFD1048576"/>
      <selection pane="bottomRight" activeCell="E10" sqref="E10"/>
    </sheetView>
  </sheetViews>
  <sheetFormatPr defaultRowHeight="15.75" outlineLevelRow="1" outlineLevelCol="2" x14ac:dyDescent="0.25"/>
  <cols>
    <col min="1" max="1" width="1.42578125" style="10" customWidth="1"/>
    <col min="2" max="2" width="9.140625" style="10"/>
    <col min="3" max="3" width="34.5703125" style="10" bestFit="1" customWidth="1"/>
    <col min="4" max="4" width="12.5703125" style="10" customWidth="1" outlineLevel="2"/>
    <col min="5" max="5" width="17.28515625" style="71" customWidth="1" outlineLevel="1"/>
    <col min="6" max="6" width="20" style="11" customWidth="1" outlineLevel="1"/>
    <col min="7" max="7" width="20" style="10" customWidth="1" outlineLevel="1"/>
    <col min="8" max="8" width="18.5703125" style="10" bestFit="1" customWidth="1"/>
    <col min="9" max="9" width="17.85546875" style="10" customWidth="1"/>
    <col min="10" max="10" width="17.140625" style="10" bestFit="1" customWidth="1"/>
    <col min="11" max="11" width="21.140625" style="71" customWidth="1" outlineLevel="1"/>
    <col min="12" max="12" width="20" style="11" customWidth="1" outlineLevel="1"/>
    <col min="13" max="13" width="20" style="10" customWidth="1" outlineLevel="1"/>
    <col min="14" max="14" width="18.5703125" style="10" customWidth="1" outlineLevel="1"/>
    <col min="15" max="15" width="10.28515625" style="10" customWidth="1" outlineLevel="1"/>
    <col min="16" max="16" width="15.140625" style="10" bestFit="1" customWidth="1"/>
    <col min="17" max="17" width="13.42578125" style="10" bestFit="1" customWidth="1"/>
    <col min="18" max="18" width="6.7109375" style="10" bestFit="1" customWidth="1"/>
    <col min="19" max="20" width="14.140625" style="10" bestFit="1" customWidth="1"/>
    <col min="21" max="16384" width="9.140625" style="10"/>
  </cols>
  <sheetData>
    <row r="1" spans="2:20" s="31" customFormat="1" ht="11.25" customHeight="1" x14ac:dyDescent="0.25">
      <c r="B1" s="36"/>
      <c r="E1" s="38"/>
      <c r="F1" s="32"/>
      <c r="K1" s="38"/>
      <c r="L1" s="32"/>
    </row>
    <row r="2" spans="2:20" s="31" customFormat="1" ht="11.25" customHeight="1" x14ac:dyDescent="0.25">
      <c r="B2" s="36"/>
      <c r="E2" s="38"/>
      <c r="F2" s="32"/>
      <c r="K2" s="38"/>
      <c r="L2" s="32"/>
      <c r="P2" s="10"/>
      <c r="Q2" s="10"/>
      <c r="R2" s="10"/>
      <c r="S2" s="10"/>
    </row>
    <row r="3" spans="2:20" s="11" customFormat="1" x14ac:dyDescent="0.25">
      <c r="C3" s="11" t="str">
        <f>+'FS Cover'!E4</f>
        <v>Good Practices Fund I, L.P.</v>
      </c>
      <c r="E3" s="64"/>
      <c r="K3" s="64"/>
      <c r="P3" s="10"/>
      <c r="Q3" s="10"/>
      <c r="R3" s="10"/>
      <c r="S3" s="10"/>
    </row>
    <row r="4" spans="2:20" s="11" customFormat="1" x14ac:dyDescent="0.25">
      <c r="C4" s="11" t="str">
        <f>+TOC!E20</f>
        <v>Balance Sheet</v>
      </c>
      <c r="E4" s="64"/>
      <c r="K4" s="64"/>
    </row>
    <row r="5" spans="2:20" s="11" customFormat="1" x14ac:dyDescent="0.25">
      <c r="C5" s="11" t="str">
        <f>+'Changes in Partners'' Capital'!E7</f>
        <v>For the Year Ended December 31, 2024</v>
      </c>
      <c r="E5" s="64"/>
    </row>
    <row r="6" spans="2:20" s="11" customFormat="1" x14ac:dyDescent="0.25">
      <c r="E6" s="64"/>
      <c r="K6" s="64" t="s">
        <v>423</v>
      </c>
    </row>
    <row r="7" spans="2:20" s="11" customFormat="1" x14ac:dyDescent="0.25">
      <c r="D7" s="67">
        <f>+'Business Plan'!$D$23</f>
        <v>45266</v>
      </c>
      <c r="E7" s="65">
        <f>EOMONTH(D7,3)</f>
        <v>45382</v>
      </c>
      <c r="F7" s="65">
        <f>EOMONTH(E7,3)</f>
        <v>45473</v>
      </c>
      <c r="G7" s="65">
        <f>EOMONTH(F7,3)</f>
        <v>45565</v>
      </c>
      <c r="H7" s="65">
        <f>EOMONTH(G7,3)</f>
        <v>45657</v>
      </c>
      <c r="I7" s="66"/>
      <c r="J7" s="67">
        <f>+'Income Statement'!J7</f>
        <v>45266</v>
      </c>
      <c r="K7" s="65">
        <f>+'Income Statement'!K7</f>
        <v>45382</v>
      </c>
      <c r="L7" s="65">
        <f>+'Income Statement'!L7</f>
        <v>45473</v>
      </c>
      <c r="M7" s="65">
        <f>+'Income Statement'!M7</f>
        <v>45565</v>
      </c>
      <c r="N7" s="65">
        <f>+'Income Statement'!N7</f>
        <v>45657</v>
      </c>
    </row>
    <row r="8" spans="2:20" x14ac:dyDescent="0.25">
      <c r="E8" s="64"/>
      <c r="K8" s="64"/>
    </row>
    <row r="9" spans="2:20" x14ac:dyDescent="0.25">
      <c r="C9" s="11" t="s">
        <v>6</v>
      </c>
      <c r="J9" s="11" t="str">
        <f>+C9</f>
        <v>Assets</v>
      </c>
    </row>
    <row r="10" spans="2:20" x14ac:dyDescent="0.25">
      <c r="C10" s="10" t="s">
        <v>118</v>
      </c>
      <c r="E10" s="72">
        <f>+SUMIFS('Journal Entries'!$L:$L,'Journal Entries'!$K:$K,$C10,'Journal Entries'!$D:$D,"&lt;="&amp;'Balance Sheet'!E$7,'Journal Entries'!$D:$D,"&gt;"&amp;'Balance Sheet'!D$7)+D10</f>
        <v>5400000</v>
      </c>
      <c r="F10" s="72">
        <f>+SUMIFS('Journal Entries'!$L:$L,'Journal Entries'!$K:$K,$C10,'Journal Entries'!$D:$D,"&lt;="&amp;'Balance Sheet'!F$7,'Journal Entries'!$D:$D,"&gt;"&amp;'Balance Sheet'!E$7)+E10</f>
        <v>9400000</v>
      </c>
      <c r="G10" s="72">
        <f>+SUMIFS('Journal Entries'!$L:$L,'Journal Entries'!$K:$K,$C10,'Journal Entries'!$D:$D,"&lt;="&amp;'Balance Sheet'!G$7,'Journal Entries'!$D:$D,"&gt;"&amp;'Balance Sheet'!F$7)+F10</f>
        <v>9400000</v>
      </c>
      <c r="H10" s="72">
        <f>+SUMIFS('Journal Entries'!$L:$L,'Journal Entries'!$K:$K,$C10,'Journal Entries'!$D:$D,"&lt;="&amp;'Balance Sheet'!H$7,'Journal Entries'!$D:$D,"&gt;"&amp;'Balance Sheet'!G$7)+G10</f>
        <v>5800000</v>
      </c>
      <c r="I10" s="88"/>
      <c r="J10" s="10" t="str">
        <f t="shared" ref="J10:J51" si="0">+C10</f>
        <v>Investments, at fair value</v>
      </c>
      <c r="K10" s="72">
        <f>+E10</f>
        <v>5400000</v>
      </c>
      <c r="L10" s="72">
        <f>+F10</f>
        <v>9400000</v>
      </c>
      <c r="M10" s="72">
        <f>+G10</f>
        <v>9400000</v>
      </c>
      <c r="N10" s="72">
        <f>+H10</f>
        <v>5800000</v>
      </c>
      <c r="Q10" s="80"/>
      <c r="R10" s="80"/>
      <c r="S10" s="80"/>
      <c r="T10" s="80"/>
    </row>
    <row r="11" spans="2:20" x14ac:dyDescent="0.25">
      <c r="C11" s="10" t="s">
        <v>7</v>
      </c>
      <c r="E11" s="72">
        <f>+SUMIFS('Journal Entries'!$L:$L,'Journal Entries'!$K:$K,$C11,'Journal Entries'!$D:$D,"&lt;="&amp;'Balance Sheet'!E$7,'Journal Entries'!$D:$D,"&gt;"&amp;'Balance Sheet'!D$7)+D11</f>
        <v>68916.666666666686</v>
      </c>
      <c r="F11" s="72">
        <f>+SUMIFS('Journal Entries'!$L:$L,'Journal Entries'!$K:$K,$C11,'Journal Entries'!$D:$D,"&lt;="&amp;'Balance Sheet'!F$7,'Journal Entries'!$D:$D,"&gt;"&amp;'Balance Sheet'!E$7)+E11</f>
        <v>573542.52118193777</v>
      </c>
      <c r="G11" s="72">
        <f>+SUMIFS('Journal Entries'!$L:$L,'Journal Entries'!$K:$K,$C11,'Journal Entries'!$D:$D,"&lt;="&amp;'Balance Sheet'!G$7,'Journal Entries'!$D:$D,"&gt;"&amp;'Balance Sheet'!F$7)+F11</f>
        <v>962920.08472775144</v>
      </c>
      <c r="H11" s="72">
        <f>+SUMIFS('Journal Entries'!$L:$L,'Journal Entries'!$K:$K,$C11,'Journal Entries'!$D:$D,"&lt;="&amp;'Balance Sheet'!H$7,'Journal Entries'!$D:$D,"&gt;"&amp;'Balance Sheet'!G$7)+G11</f>
        <v>3192297.6482735649</v>
      </c>
      <c r="I11" s="88"/>
      <c r="J11" s="10" t="str">
        <f t="shared" si="0"/>
        <v>Cash and cash equivalents</v>
      </c>
      <c r="K11" s="72">
        <f t="shared" ref="K11:K19" si="1">+E11</f>
        <v>68916.666666666686</v>
      </c>
      <c r="L11" s="72">
        <f t="shared" ref="L11:L19" si="2">+F11</f>
        <v>573542.52118193777</v>
      </c>
      <c r="M11" s="72">
        <f t="shared" ref="M11:M19" si="3">+G11</f>
        <v>962920.08472775144</v>
      </c>
      <c r="N11" s="72">
        <f>+H11</f>
        <v>3192297.6482735649</v>
      </c>
      <c r="Q11" s="80"/>
    </row>
    <row r="12" spans="2:20" hidden="1" outlineLevel="1" x14ac:dyDescent="0.25">
      <c r="C12" s="10" t="s">
        <v>8</v>
      </c>
      <c r="E12" s="72">
        <f>+SUMIFS('Journal Entries'!$L:$L,'Journal Entries'!$K:$K,$C12,'Journal Entries'!$D:$D,"&lt;="&amp;'Balance Sheet'!E$7,'Journal Entries'!$D:$D,"&gt;"&amp;'Balance Sheet'!D$7)+D12</f>
        <v>0</v>
      </c>
      <c r="F12" s="72">
        <f>+SUMIFS('Journal Entries'!$L:$L,'Journal Entries'!$K:$K,$C12,'Journal Entries'!$D:$D,"&lt;="&amp;'Balance Sheet'!F$7,'Journal Entries'!$D:$D,"&gt;"&amp;'Balance Sheet'!E$7)+E12</f>
        <v>0</v>
      </c>
      <c r="G12" s="72">
        <f>+SUMIFS('Journal Entries'!$L:$L,'Journal Entries'!$K:$K,$C12,'Journal Entries'!$D:$D,"&lt;="&amp;'Balance Sheet'!G$7,'Journal Entries'!$D:$D,"&gt;"&amp;'Balance Sheet'!F$7)+F12</f>
        <v>0</v>
      </c>
      <c r="H12" s="72">
        <f>+SUMIFS('Journal Entries'!$L:$L,'Journal Entries'!$K:$K,$C12,'Journal Entries'!$D:$D,"&lt;="&amp;'Balance Sheet'!H$7,'Journal Entries'!$D:$D,"&gt;"&amp;'Balance Sheet'!G$7)+G12</f>
        <v>0</v>
      </c>
      <c r="I12" s="88"/>
      <c r="J12" s="10" t="str">
        <f t="shared" si="0"/>
        <v>Interest receivable</v>
      </c>
      <c r="K12" s="72">
        <f t="shared" si="1"/>
        <v>0</v>
      </c>
      <c r="L12" s="72">
        <f t="shared" si="2"/>
        <v>0</v>
      </c>
      <c r="M12" s="72">
        <f t="shared" si="3"/>
        <v>0</v>
      </c>
      <c r="N12" s="72">
        <f t="shared" ref="N12:N19" si="4">+H12</f>
        <v>0</v>
      </c>
      <c r="Q12" s="80"/>
    </row>
    <row r="13" spans="2:20" hidden="1" outlineLevel="1" x14ac:dyDescent="0.25">
      <c r="C13" s="10" t="s">
        <v>9</v>
      </c>
      <c r="E13" s="72">
        <f>+SUMIFS('Journal Entries'!$L:$L,'Journal Entries'!$K:$K,$C13,'Journal Entries'!$D:$D,"&lt;="&amp;'Balance Sheet'!E$7,'Journal Entries'!$D:$D,"&gt;"&amp;'Balance Sheet'!D$7)+D13</f>
        <v>0</v>
      </c>
      <c r="F13" s="72">
        <f>+SUMIFS('Journal Entries'!$L:$L,'Journal Entries'!$K:$K,$C13,'Journal Entries'!$D:$D,"&lt;="&amp;'Balance Sheet'!F$7,'Journal Entries'!$D:$D,"&gt;"&amp;'Balance Sheet'!E$7)+E13</f>
        <v>0</v>
      </c>
      <c r="G13" s="72">
        <f>+SUMIFS('Journal Entries'!$L:$L,'Journal Entries'!$K:$K,$C13,'Journal Entries'!$D:$D,"&lt;="&amp;'Balance Sheet'!G$7,'Journal Entries'!$D:$D,"&gt;"&amp;'Balance Sheet'!F$7)+F13</f>
        <v>0</v>
      </c>
      <c r="H13" s="72">
        <f>+SUMIFS('Journal Entries'!$L:$L,'Journal Entries'!$K:$K,$C13,'Journal Entries'!$D:$D,"&lt;="&amp;'Balance Sheet'!H$7,'Journal Entries'!$D:$D,"&gt;"&amp;'Balance Sheet'!G$7)+G13</f>
        <v>0</v>
      </c>
      <c r="I13" s="88"/>
      <c r="J13" s="10" t="str">
        <f t="shared" si="0"/>
        <v>Dividends receivable</v>
      </c>
      <c r="K13" s="72">
        <f t="shared" si="1"/>
        <v>0</v>
      </c>
      <c r="L13" s="72">
        <f t="shared" si="2"/>
        <v>0</v>
      </c>
      <c r="M13" s="72">
        <f t="shared" si="3"/>
        <v>0</v>
      </c>
      <c r="N13" s="72">
        <f t="shared" si="4"/>
        <v>0</v>
      </c>
      <c r="Q13" s="80"/>
    </row>
    <row r="14" spans="2:20" hidden="1" outlineLevel="1" x14ac:dyDescent="0.25">
      <c r="C14" s="10" t="s">
        <v>10</v>
      </c>
      <c r="E14" s="72">
        <f>+SUMIFS('Journal Entries'!$L:$L,'Journal Entries'!$K:$K,$C14,'Journal Entries'!$D:$D,"&lt;="&amp;'Balance Sheet'!E$7,'Journal Entries'!$D:$D,"&gt;"&amp;'Balance Sheet'!D$7)+D14</f>
        <v>0</v>
      </c>
      <c r="F14" s="72">
        <f>+SUMIFS('Journal Entries'!$L:$L,'Journal Entries'!$K:$K,$C14,'Journal Entries'!$D:$D,"&lt;="&amp;'Balance Sheet'!F$7,'Journal Entries'!$D:$D,"&gt;"&amp;'Balance Sheet'!E$7)+E14</f>
        <v>0</v>
      </c>
      <c r="G14" s="72">
        <f>+SUMIFS('Journal Entries'!$L:$L,'Journal Entries'!$K:$K,$C14,'Journal Entries'!$D:$D,"&lt;="&amp;'Balance Sheet'!G$7,'Journal Entries'!$D:$D,"&gt;"&amp;'Balance Sheet'!F$7)+F14</f>
        <v>0</v>
      </c>
      <c r="H14" s="72">
        <f>+SUMIFS('Journal Entries'!$L:$L,'Journal Entries'!$K:$K,$C14,'Journal Entries'!$D:$D,"&lt;="&amp;'Balance Sheet'!H$7,'Journal Entries'!$D:$D,"&gt;"&amp;'Balance Sheet'!G$7)+G14</f>
        <v>0</v>
      </c>
      <c r="I14" s="88"/>
      <c r="J14" s="10" t="str">
        <f t="shared" si="0"/>
        <v>Due from related parties</v>
      </c>
      <c r="K14" s="72">
        <f t="shared" si="1"/>
        <v>0</v>
      </c>
      <c r="L14" s="72">
        <f t="shared" si="2"/>
        <v>0</v>
      </c>
      <c r="M14" s="72">
        <f t="shared" si="3"/>
        <v>0</v>
      </c>
      <c r="N14" s="72">
        <f t="shared" si="4"/>
        <v>0</v>
      </c>
      <c r="Q14" s="80"/>
    </row>
    <row r="15" spans="2:20" hidden="1" outlineLevel="1" collapsed="1" x14ac:dyDescent="0.25">
      <c r="C15" s="10" t="s">
        <v>473</v>
      </c>
      <c r="E15" s="72">
        <f>+SUMIFS('Journal Entries'!$L:$L,'Journal Entries'!$K:$K,$C15,'Journal Entries'!$D:$D,"&lt;="&amp;'Balance Sheet'!E$7,'Journal Entries'!$D:$D,"&gt;"&amp;'Balance Sheet'!D$7)+D15</f>
        <v>0</v>
      </c>
      <c r="F15" s="72">
        <f>+SUMIFS('Journal Entries'!$L:$L,'Journal Entries'!$K:$K,$C15,'Journal Entries'!$D:$D,"&lt;="&amp;'Balance Sheet'!F$7,'Journal Entries'!$D:$D,"&gt;"&amp;'Balance Sheet'!E$7)+E15</f>
        <v>0</v>
      </c>
      <c r="G15" s="72">
        <f>+SUMIFS('Journal Entries'!$L:$L,'Journal Entries'!$K:$K,$C15,'Journal Entries'!$D:$D,"&lt;="&amp;'Balance Sheet'!G$7,'Journal Entries'!$D:$D,"&gt;"&amp;'Balance Sheet'!F$7)+F15</f>
        <v>0</v>
      </c>
      <c r="H15" s="72">
        <f>+SUMIFS('Journal Entries'!$L:$L,'Journal Entries'!$K:$K,$C15,'Journal Entries'!$D:$D,"&lt;="&amp;'Balance Sheet'!H$7,'Journal Entries'!$D:$D,"&gt;"&amp;'Balance Sheet'!G$7)+G15</f>
        <v>0</v>
      </c>
      <c r="I15" s="88"/>
      <c r="J15" s="10" t="str">
        <f t="shared" si="0"/>
        <v>Prepaid assets</v>
      </c>
      <c r="K15" s="72">
        <f t="shared" si="1"/>
        <v>0</v>
      </c>
      <c r="L15" s="72">
        <f t="shared" si="2"/>
        <v>0</v>
      </c>
      <c r="M15" s="72">
        <f t="shared" si="3"/>
        <v>0</v>
      </c>
      <c r="N15" s="72">
        <f t="shared" si="4"/>
        <v>0</v>
      </c>
      <c r="Q15" s="80"/>
    </row>
    <row r="16" spans="2:20" hidden="1" outlineLevel="1" x14ac:dyDescent="0.25">
      <c r="C16" s="10" t="s">
        <v>11</v>
      </c>
      <c r="E16" s="72">
        <f>+SUMIFS('Journal Entries'!$L:$L,'Journal Entries'!$K:$K,$C16,'Journal Entries'!$D:$D,"&lt;="&amp;'Balance Sheet'!E$7,'Journal Entries'!$D:$D,"&gt;"&amp;'Balance Sheet'!D$7)+D16</f>
        <v>0</v>
      </c>
      <c r="F16" s="72">
        <f>+SUMIFS('Journal Entries'!$L:$L,'Journal Entries'!$K:$K,$C16,'Journal Entries'!$D:$D,"&lt;="&amp;'Balance Sheet'!F$7,'Journal Entries'!$D:$D,"&gt;"&amp;'Balance Sheet'!E$7)+E16</f>
        <v>0</v>
      </c>
      <c r="G16" s="72">
        <f>+SUMIFS('Journal Entries'!$L:$L,'Journal Entries'!$K:$K,$C16,'Journal Entries'!$D:$D,"&lt;="&amp;'Balance Sheet'!G$7,'Journal Entries'!$D:$D,"&gt;"&amp;'Balance Sheet'!F$7)+F16</f>
        <v>0</v>
      </c>
      <c r="H16" s="72">
        <f>+SUMIFS('Journal Entries'!$L:$L,'Journal Entries'!$K:$K,$C16,'Journal Entries'!$D:$D,"&lt;="&amp;'Balance Sheet'!H$7,'Journal Entries'!$D:$D,"&gt;"&amp;'Balance Sheet'!G$7)+G16</f>
        <v>0</v>
      </c>
      <c r="I16" s="88"/>
      <c r="J16" s="10" t="str">
        <f t="shared" si="0"/>
        <v>Escrow proceeds receivable</v>
      </c>
      <c r="K16" s="72">
        <f t="shared" si="1"/>
        <v>0</v>
      </c>
      <c r="L16" s="72">
        <f t="shared" si="2"/>
        <v>0</v>
      </c>
      <c r="M16" s="72">
        <f t="shared" si="3"/>
        <v>0</v>
      </c>
      <c r="N16" s="72">
        <f t="shared" si="4"/>
        <v>0</v>
      </c>
      <c r="Q16" s="80"/>
    </row>
    <row r="17" spans="3:17" hidden="1" outlineLevel="1" x14ac:dyDescent="0.25">
      <c r="C17" s="10" t="s">
        <v>12</v>
      </c>
      <c r="E17" s="72">
        <f>+SUMIFS('Journal Entries'!$L:$L,'Journal Entries'!$K:$K,$C17,'Journal Entries'!$D:$D,"&lt;="&amp;'Balance Sheet'!E$7,'Journal Entries'!$D:$D,"&gt;"&amp;'Balance Sheet'!D$7)+D17</f>
        <v>0</v>
      </c>
      <c r="F17" s="72">
        <f>+SUMIFS('Journal Entries'!$L:$L,'Journal Entries'!$K:$K,$C17,'Journal Entries'!$D:$D,"&lt;="&amp;'Balance Sheet'!F$7,'Journal Entries'!$D:$D,"&gt;"&amp;'Balance Sheet'!E$7)+E17</f>
        <v>0</v>
      </c>
      <c r="G17" s="72">
        <f>+SUMIFS('Journal Entries'!$L:$L,'Journal Entries'!$K:$K,$C17,'Journal Entries'!$D:$D,"&lt;="&amp;'Balance Sheet'!G$7,'Journal Entries'!$D:$D,"&gt;"&amp;'Balance Sheet'!F$7)+F17</f>
        <v>0</v>
      </c>
      <c r="H17" s="72">
        <f>+SUMIFS('Journal Entries'!$L:$L,'Journal Entries'!$K:$K,$C17,'Journal Entries'!$D:$D,"&lt;="&amp;'Balance Sheet'!H$7,'Journal Entries'!$D:$D,"&gt;"&amp;'Balance Sheet'!G$7)+G17</f>
        <v>0</v>
      </c>
      <c r="I17" s="88"/>
      <c r="J17" s="10" t="str">
        <f t="shared" si="0"/>
        <v>Capital Contributions receivable</v>
      </c>
      <c r="K17" s="72">
        <f t="shared" si="1"/>
        <v>0</v>
      </c>
      <c r="L17" s="72">
        <f t="shared" si="2"/>
        <v>0</v>
      </c>
      <c r="M17" s="72">
        <f t="shared" si="3"/>
        <v>0</v>
      </c>
      <c r="N17" s="72">
        <f t="shared" si="4"/>
        <v>0</v>
      </c>
      <c r="Q17" s="80"/>
    </row>
    <row r="18" spans="3:17" collapsed="1" x14ac:dyDescent="0.25">
      <c r="C18" s="10" t="s">
        <v>13</v>
      </c>
      <c r="E18" s="72">
        <f>+SUMIFS('Journal Entries'!$L:$L,'Journal Entries'!$K:$K,$C18,'Journal Entries'!$D:$D,"&lt;="&amp;'Balance Sheet'!E$7,'Journal Entries'!$D:$D,"&gt;"&amp;'Balance Sheet'!D$7)+D18</f>
        <v>0</v>
      </c>
      <c r="F18" s="72">
        <f>+SUMIFS('Journal Entries'!$L:$L,'Journal Entries'!$K:$K,$C18,'Journal Entries'!$D:$D,"&lt;="&amp;'Balance Sheet'!F$7,'Journal Entries'!$D:$D,"&gt;"&amp;'Balance Sheet'!E$7)+E18</f>
        <v>4916790.8121513957</v>
      </c>
      <c r="G18" s="72">
        <f>+SUMIFS('Journal Entries'!$L:$L,'Journal Entries'!$K:$K,$C18,'Journal Entries'!$D:$D,"&lt;="&amp;'Balance Sheet'!G$7,'Journal Entries'!$D:$D,"&gt;"&amp;'Balance Sheet'!F$7)+F18</f>
        <v>4662619.4175941832</v>
      </c>
      <c r="H18" s="72">
        <f>+SUMIFS('Journal Entries'!$L:$L,'Journal Entries'!$K:$K,$C18,'Journal Entries'!$D:$D,"&lt;="&amp;'Balance Sheet'!H$7,'Journal Entries'!$D:$D,"&gt;"&amp;'Balance Sheet'!G$7)+G18</f>
        <v>1647639.4373176894</v>
      </c>
      <c r="I18" s="88"/>
      <c r="J18" s="10" t="str">
        <f t="shared" si="0"/>
        <v>Loan/Notes receivable</v>
      </c>
      <c r="K18" s="72">
        <f t="shared" si="1"/>
        <v>0</v>
      </c>
      <c r="L18" s="72">
        <f t="shared" si="2"/>
        <v>4916790.8121513957</v>
      </c>
      <c r="M18" s="72">
        <f t="shared" si="3"/>
        <v>4662619.4175941832</v>
      </c>
      <c r="N18" s="72">
        <f t="shared" si="4"/>
        <v>1647639.4373176894</v>
      </c>
      <c r="Q18" s="80"/>
    </row>
    <row r="19" spans="3:17" hidden="1" outlineLevel="1" x14ac:dyDescent="0.25">
      <c r="C19" s="10" t="s">
        <v>14</v>
      </c>
      <c r="E19" s="72">
        <f>+SUMIFS('Journal Entries'!$L:$L,'Journal Entries'!$K:$K,$C19,'Journal Entries'!$D:$D,"&lt;="&amp;'Balance Sheet'!E$7,'Journal Entries'!$D:$D,"&gt;"&amp;'Balance Sheet'!D$7)+D19</f>
        <v>0</v>
      </c>
      <c r="F19" s="72">
        <f>+SUMIFS('Journal Entries'!$L:$L,'Journal Entries'!$K:$K,$C19,'Journal Entries'!$D:$D,"&lt;="&amp;'Balance Sheet'!F$7,'Journal Entries'!$D:$D,"&gt;"&amp;'Balance Sheet'!E$7)+E19</f>
        <v>0</v>
      </c>
      <c r="G19" s="72">
        <f>+SUMIFS('Journal Entries'!$L:$L,'Journal Entries'!$K:$K,$C19,'Journal Entries'!$D:$D,"&lt;="&amp;'Balance Sheet'!G$7,'Journal Entries'!$D:$D,"&gt;"&amp;'Balance Sheet'!F$7)+F19</f>
        <v>0</v>
      </c>
      <c r="H19" s="72">
        <f>+SUMIFS('Journal Entries'!$L:$L,'Journal Entries'!$K:$K,$C19,'Journal Entries'!$D:$D,"&lt;="&amp;'Balance Sheet'!H$7,'Journal Entries'!$D:$D,"&gt;"&amp;'Balance Sheet'!G$7)+G19</f>
        <v>0</v>
      </c>
      <c r="I19" s="88"/>
      <c r="J19" s="10" t="str">
        <f t="shared" si="0"/>
        <v>Other Assets</v>
      </c>
      <c r="K19" s="72">
        <f t="shared" si="1"/>
        <v>0</v>
      </c>
      <c r="L19" s="72">
        <f t="shared" si="2"/>
        <v>0</v>
      </c>
      <c r="M19" s="72">
        <f t="shared" si="3"/>
        <v>0</v>
      </c>
      <c r="N19" s="72">
        <f t="shared" si="4"/>
        <v>0</v>
      </c>
      <c r="Q19" s="80"/>
    </row>
    <row r="20" spans="3:17" collapsed="1" x14ac:dyDescent="0.25">
      <c r="E20" s="73"/>
      <c r="F20" s="73"/>
      <c r="G20" s="73"/>
      <c r="H20" s="73"/>
      <c r="I20" s="73"/>
      <c r="K20" s="73"/>
      <c r="L20" s="73"/>
      <c r="M20" s="73"/>
      <c r="N20" s="73"/>
      <c r="Q20" s="80"/>
    </row>
    <row r="21" spans="3:17" x14ac:dyDescent="0.25">
      <c r="C21" s="11" t="s">
        <v>43</v>
      </c>
      <c r="D21" s="11"/>
      <c r="E21" s="85">
        <f>SUM(E10:E19)</f>
        <v>5468916.666666667</v>
      </c>
      <c r="F21" s="85">
        <f>SUM(F10:F19)</f>
        <v>14890333.333333332</v>
      </c>
      <c r="G21" s="85">
        <f>SUM(G10:G19)</f>
        <v>15025539.502321934</v>
      </c>
      <c r="H21" s="85">
        <f>SUM(H10:H19)</f>
        <v>10639937.085591255</v>
      </c>
      <c r="I21" s="89"/>
      <c r="J21" s="11" t="str">
        <f t="shared" si="0"/>
        <v>Total Assets</v>
      </c>
      <c r="K21" s="85">
        <f>SUM(K10:K19)</f>
        <v>5468916.666666667</v>
      </c>
      <c r="L21" s="85">
        <f>SUM(L10:L19)</f>
        <v>14890333.333333332</v>
      </c>
      <c r="M21" s="85">
        <f>SUM(M10:M19)</f>
        <v>15025539.502321934</v>
      </c>
      <c r="N21" s="85">
        <f>SUM(N10:N19)</f>
        <v>10639937.085591255</v>
      </c>
      <c r="Q21" s="80"/>
    </row>
    <row r="22" spans="3:17" x14ac:dyDescent="0.25">
      <c r="Q22" s="80"/>
    </row>
    <row r="23" spans="3:17" x14ac:dyDescent="0.25">
      <c r="Q23" s="80"/>
    </row>
    <row r="24" spans="3:17" x14ac:dyDescent="0.25">
      <c r="C24" s="11" t="s">
        <v>16</v>
      </c>
      <c r="D24" s="11"/>
      <c r="E24" s="64"/>
      <c r="J24" s="11" t="str">
        <f t="shared" si="0"/>
        <v>Liabilities</v>
      </c>
      <c r="K24" s="64"/>
      <c r="Q24" s="80"/>
    </row>
    <row r="25" spans="3:17" x14ac:dyDescent="0.25">
      <c r="C25" s="10" t="s">
        <v>15</v>
      </c>
      <c r="D25" s="11"/>
      <c r="E25" s="72">
        <f>-(SUMIFS('Journal Entries'!$L:$L,'Journal Entries'!$K:$K,$C25,'Journal Entries'!$D:$D,"&lt;="&amp;'Balance Sheet'!E$7,'Journal Entries'!$D:$D,"&gt;"&amp;'Balance Sheet'!D$7))+D25</f>
        <v>0</v>
      </c>
      <c r="F25" s="72">
        <f>-(SUMIFS('Journal Entries'!$L:$L,'Journal Entries'!$K:$K,$C25,'Journal Entries'!$D:$D,"&lt;="&amp;'Balance Sheet'!F$7,'Journal Entries'!$D:$D,"&gt;"&amp;'Balance Sheet'!E$7))+E25</f>
        <v>0</v>
      </c>
      <c r="G25" s="72">
        <f>-(SUMIFS('Journal Entries'!$L:$L,'Journal Entries'!$K:$K,$C25,'Journal Entries'!$D:$D,"&lt;="&amp;'Balance Sheet'!G$7,'Journal Entries'!$D:$D,"&gt;"&amp;'Balance Sheet'!F$7))+F25</f>
        <v>0</v>
      </c>
      <c r="H25" s="72">
        <f>-(SUMIFS('Journal Entries'!$L:$L,'Journal Entries'!$K:$K,$C25,'Journal Entries'!$D:$D,"&lt;="&amp;'Balance Sheet'!H$7,'Journal Entries'!$D:$D,"&gt;"&amp;'Balance Sheet'!G$7))+G25</f>
        <v>0</v>
      </c>
      <c r="I25" s="88"/>
      <c r="J25" s="10" t="str">
        <f t="shared" si="0"/>
        <v>Management fee payable</v>
      </c>
      <c r="K25" s="72">
        <f t="shared" ref="K25:K41" si="5">+E25</f>
        <v>0</v>
      </c>
      <c r="L25" s="72">
        <f t="shared" ref="L25:L41" si="6">+F25</f>
        <v>0</v>
      </c>
      <c r="M25" s="72">
        <f t="shared" ref="M25:M41" si="7">+G25</f>
        <v>0</v>
      </c>
      <c r="N25" s="72">
        <f>+H25+O25</f>
        <v>0</v>
      </c>
      <c r="Q25" s="80"/>
    </row>
    <row r="26" spans="3:17" outlineLevel="1" x14ac:dyDescent="0.25">
      <c r="C26" s="10" t="s">
        <v>17</v>
      </c>
      <c r="D26" s="11"/>
      <c r="E26" s="72">
        <f>-(SUMIFS('Journal Entries'!$L:$L,'Journal Entries'!$K:$K,$C26,'Journal Entries'!$D:$D,"&lt;="&amp;'Balance Sheet'!E$7,'Journal Entries'!$D:$D,"&gt;"&amp;'Balance Sheet'!D$7))+D26</f>
        <v>0</v>
      </c>
      <c r="F26" s="72">
        <f>-(SUMIFS('Journal Entries'!$L:$L,'Journal Entries'!$K:$K,$C26,'Journal Entries'!$D:$D,"&lt;="&amp;'Balance Sheet'!F$7,'Journal Entries'!$D:$D,"&gt;"&amp;'Balance Sheet'!E$7))+E26</f>
        <v>0</v>
      </c>
      <c r="G26" s="72">
        <f>-(SUMIFS('Journal Entries'!$L:$L,'Journal Entries'!$K:$K,$C26,'Journal Entries'!$D:$D,"&lt;="&amp;'Balance Sheet'!G$7,'Journal Entries'!$D:$D,"&gt;"&amp;'Balance Sheet'!F$7))+F26</f>
        <v>0</v>
      </c>
      <c r="H26" s="72">
        <f>-(SUMIFS('Journal Entries'!$L:$L,'Journal Entries'!$K:$K,$C26,'Journal Entries'!$D:$D,"&lt;="&amp;'Balance Sheet'!H$7,'Journal Entries'!$D:$D,"&gt;"&amp;'Balance Sheet'!G$7))+G26</f>
        <v>0</v>
      </c>
      <c r="I26" s="88"/>
      <c r="J26" s="10" t="str">
        <f t="shared" si="0"/>
        <v>Performance fee payable</v>
      </c>
      <c r="K26" s="72">
        <f t="shared" si="5"/>
        <v>0</v>
      </c>
      <c r="L26" s="72">
        <f t="shared" si="6"/>
        <v>0</v>
      </c>
      <c r="M26" s="72">
        <f t="shared" si="7"/>
        <v>0</v>
      </c>
      <c r="N26" s="72">
        <f>+'Journal Entries'!H291</f>
        <v>838754.03513283492</v>
      </c>
      <c r="Q26" s="80"/>
    </row>
    <row r="27" spans="3:17" x14ac:dyDescent="0.25">
      <c r="C27" s="10" t="s">
        <v>427</v>
      </c>
      <c r="D27" s="11"/>
      <c r="E27" s="72">
        <f>-(SUMIFS('Journal Entries'!$L:$L,'Journal Entries'!$K:$K,$C27,'Journal Entries'!$D:$D,"&lt;="&amp;'Balance Sheet'!E$7,'Journal Entries'!$D:$D,"&gt;"&amp;'Balance Sheet'!D$7))+D27</f>
        <v>0</v>
      </c>
      <c r="F27" s="72">
        <f>-(SUMIFS('Journal Entries'!$L:$L,'Journal Entries'!$K:$K,$C27,'Journal Entries'!$D:$D,"&lt;="&amp;'Balance Sheet'!F$7,'Journal Entries'!$D:$D,"&gt;"&amp;'Balance Sheet'!E$7))+E27</f>
        <v>0</v>
      </c>
      <c r="G27" s="72">
        <f>-(SUMIFS('Journal Entries'!$L:$L,'Journal Entries'!$K:$K,$C27,'Journal Entries'!$D:$D,"&lt;="&amp;'Balance Sheet'!G$7,'Journal Entries'!$D:$D,"&gt;"&amp;'Balance Sheet'!F$7))+F27</f>
        <v>0</v>
      </c>
      <c r="H27" s="72">
        <f>-(SUMIFS('Journal Entries'!$L:$L,'Journal Entries'!$K:$K,$C27,'Journal Entries'!$D:$D,"&lt;="&amp;'Balance Sheet'!H$7,'Journal Entries'!$D:$D,"&gt;"&amp;'Balance Sheet'!G$7))+G27</f>
        <v>60000</v>
      </c>
      <c r="I27" s="88"/>
      <c r="J27" s="10" t="str">
        <f t="shared" si="0"/>
        <v>Fund administration fee payable</v>
      </c>
      <c r="K27" s="72">
        <f t="shared" si="5"/>
        <v>0</v>
      </c>
      <c r="L27" s="72">
        <f t="shared" si="6"/>
        <v>0</v>
      </c>
      <c r="M27" s="72">
        <f t="shared" si="7"/>
        <v>0</v>
      </c>
      <c r="N27" s="72">
        <f t="shared" ref="N27:N41" si="8">+H27</f>
        <v>60000</v>
      </c>
      <c r="Q27" s="80"/>
    </row>
    <row r="28" spans="3:17" hidden="1" outlineLevel="1" x14ac:dyDescent="0.25">
      <c r="C28" s="10" t="s">
        <v>19</v>
      </c>
      <c r="D28" s="11"/>
      <c r="E28" s="72">
        <f>-(SUMIFS('Journal Entries'!$L:$L,'Journal Entries'!$K:$K,$C28,'Journal Entries'!$D:$D,"&lt;="&amp;'Balance Sheet'!E$7,'Journal Entries'!$D:$D,"&gt;"&amp;'Balance Sheet'!D$7))+D28</f>
        <v>0</v>
      </c>
      <c r="F28" s="72">
        <f>-(SUMIFS('Journal Entries'!$L:$L,'Journal Entries'!$K:$K,$C28,'Journal Entries'!$D:$D,"&lt;="&amp;'Balance Sheet'!F$7,'Journal Entries'!$D:$D,"&gt;"&amp;'Balance Sheet'!E$7))+E28</f>
        <v>0</v>
      </c>
      <c r="G28" s="72">
        <f>-(SUMIFS('Journal Entries'!$L:$L,'Journal Entries'!$K:$K,$C28,'Journal Entries'!$D:$D,"&lt;="&amp;'Balance Sheet'!G$7,'Journal Entries'!$D:$D,"&gt;"&amp;'Balance Sheet'!F$7))+F28</f>
        <v>0</v>
      </c>
      <c r="H28" s="72">
        <f>-(SUMIFS('Journal Entries'!$L:$L,'Journal Entries'!$K:$K,$C28,'Journal Entries'!$D:$D,"&lt;="&amp;'Balance Sheet'!H$7,'Journal Entries'!$D:$D,"&gt;"&amp;'Balance Sheet'!G$7))+G28</f>
        <v>0</v>
      </c>
      <c r="I28" s="88"/>
      <c r="J28" s="10" t="str">
        <f t="shared" si="0"/>
        <v>Notes payable</v>
      </c>
      <c r="K28" s="72">
        <f t="shared" si="5"/>
        <v>0</v>
      </c>
      <c r="L28" s="72">
        <f t="shared" si="6"/>
        <v>0</v>
      </c>
      <c r="M28" s="72">
        <f t="shared" si="7"/>
        <v>0</v>
      </c>
      <c r="N28" s="72">
        <f t="shared" si="8"/>
        <v>0</v>
      </c>
      <c r="Q28" s="80"/>
    </row>
    <row r="29" spans="3:17" collapsed="1" x14ac:dyDescent="0.25">
      <c r="C29" s="10" t="s">
        <v>27</v>
      </c>
      <c r="D29" s="11"/>
      <c r="E29" s="72">
        <f>-(SUMIFS('Journal Entries'!$L:$L,'Journal Entries'!$K:$K,$C29,'Journal Entries'!$D:$D,"&lt;="&amp;'Balance Sheet'!E$7,'Journal Entries'!$D:$D,"&gt;"&amp;'Balance Sheet'!D$7))+D29</f>
        <v>15000</v>
      </c>
      <c r="F29" s="72">
        <f>-(SUMIFS('Journal Entries'!$L:$L,'Journal Entries'!$K:$K,$C29,'Journal Entries'!$D:$D,"&lt;="&amp;'Balance Sheet'!F$7,'Journal Entries'!$D:$D,"&gt;"&amp;'Balance Sheet'!E$7))+E29</f>
        <v>30000</v>
      </c>
      <c r="G29" s="72">
        <f>-(SUMIFS('Journal Entries'!$L:$L,'Journal Entries'!$K:$K,$C29,'Journal Entries'!$D:$D,"&lt;="&amp;'Balance Sheet'!G$7,'Journal Entries'!$D:$D,"&gt;"&amp;'Balance Sheet'!F$7))+F29</f>
        <v>45000</v>
      </c>
      <c r="H29" s="72">
        <f>-(SUMIFS('Journal Entries'!$L:$L,'Journal Entries'!$K:$K,$C29,'Journal Entries'!$D:$D,"&lt;="&amp;'Balance Sheet'!H$7,'Journal Entries'!$D:$D,"&gt;"&amp;'Balance Sheet'!G$7))+G29</f>
        <v>0</v>
      </c>
      <c r="I29" s="88"/>
      <c r="J29" s="10" t="str">
        <f t="shared" si="0"/>
        <v>Accrued expenses</v>
      </c>
      <c r="K29" s="72">
        <f t="shared" si="5"/>
        <v>15000</v>
      </c>
      <c r="L29" s="72">
        <f t="shared" si="6"/>
        <v>30000</v>
      </c>
      <c r="M29" s="72">
        <f t="shared" si="7"/>
        <v>45000</v>
      </c>
      <c r="N29" s="72">
        <f t="shared" si="8"/>
        <v>0</v>
      </c>
      <c r="Q29" s="80"/>
    </row>
    <row r="30" spans="3:17" hidden="1" outlineLevel="1" x14ac:dyDescent="0.25">
      <c r="C30" s="10" t="s">
        <v>87</v>
      </c>
      <c r="D30" s="11"/>
      <c r="E30" s="72">
        <f>-(SUMIFS('Journal Entries'!$L:$L,'Journal Entries'!$K:$K,$C30,'Journal Entries'!$D:$D,"&lt;="&amp;'Balance Sheet'!E$7,'Journal Entries'!$D:$D,"&gt;"&amp;'Balance Sheet'!D$7))+D30</f>
        <v>0</v>
      </c>
      <c r="F30" s="72">
        <f>-(SUMIFS('Journal Entries'!$L:$L,'Journal Entries'!$K:$K,$C30,'Journal Entries'!$D:$D,"&lt;="&amp;'Balance Sheet'!F$7,'Journal Entries'!$D:$D,"&gt;"&amp;'Balance Sheet'!E$7))+E30</f>
        <v>0</v>
      </c>
      <c r="G30" s="72">
        <f>-(SUMIFS('Journal Entries'!$L:$L,'Journal Entries'!$K:$K,$C30,'Journal Entries'!$D:$D,"&lt;="&amp;'Balance Sheet'!G$7,'Journal Entries'!$D:$D,"&gt;"&amp;'Balance Sheet'!F$7))+F30</f>
        <v>0</v>
      </c>
      <c r="H30" s="72">
        <f>-(SUMIFS('Journal Entries'!$L:$L,'Journal Entries'!$K:$K,$C30,'Journal Entries'!$D:$D,"&lt;="&amp;'Balance Sheet'!H$7,'Journal Entries'!$D:$D,"&gt;"&amp;'Balance Sheet'!G$7))+G30</f>
        <v>0</v>
      </c>
      <c r="I30" s="88"/>
      <c r="J30" s="10" t="str">
        <f t="shared" si="0"/>
        <v>Legal fees payable</v>
      </c>
      <c r="K30" s="72">
        <f t="shared" si="5"/>
        <v>0</v>
      </c>
      <c r="L30" s="72">
        <f t="shared" si="6"/>
        <v>0</v>
      </c>
      <c r="M30" s="72">
        <f t="shared" si="7"/>
        <v>0</v>
      </c>
      <c r="N30" s="72">
        <f t="shared" si="8"/>
        <v>0</v>
      </c>
      <c r="Q30" s="80"/>
    </row>
    <row r="31" spans="3:17" hidden="1" outlineLevel="1" x14ac:dyDescent="0.25">
      <c r="C31" s="10" t="s">
        <v>88</v>
      </c>
      <c r="D31" s="11"/>
      <c r="E31" s="72">
        <f>-(SUMIFS('Journal Entries'!$L:$L,'Journal Entries'!$K:$K,$C31,'Journal Entries'!$D:$D,"&lt;="&amp;'Balance Sheet'!E$7,'Journal Entries'!$D:$D,"&gt;"&amp;'Balance Sheet'!D$7))+D31</f>
        <v>0</v>
      </c>
      <c r="F31" s="72">
        <f>-(SUMIFS('Journal Entries'!$L:$L,'Journal Entries'!$K:$K,$C31,'Journal Entries'!$D:$D,"&lt;="&amp;'Balance Sheet'!F$7,'Journal Entries'!$D:$D,"&gt;"&amp;'Balance Sheet'!E$7))+E31</f>
        <v>0</v>
      </c>
      <c r="G31" s="72">
        <f>-(SUMIFS('Journal Entries'!$L:$L,'Journal Entries'!$K:$K,$C31,'Journal Entries'!$D:$D,"&lt;="&amp;'Balance Sheet'!G$7,'Journal Entries'!$D:$D,"&gt;"&amp;'Balance Sheet'!F$7))+F31</f>
        <v>0</v>
      </c>
      <c r="H31" s="72">
        <f>-(SUMIFS('Journal Entries'!$L:$L,'Journal Entries'!$K:$K,$C31,'Journal Entries'!$D:$D,"&lt;="&amp;'Balance Sheet'!H$7,'Journal Entries'!$D:$D,"&gt;"&amp;'Balance Sheet'!G$7))+G31</f>
        <v>0</v>
      </c>
      <c r="I31" s="88"/>
      <c r="J31" s="10" t="str">
        <f t="shared" si="0"/>
        <v>Fund administration fees payable</v>
      </c>
      <c r="K31" s="72">
        <f t="shared" si="5"/>
        <v>0</v>
      </c>
      <c r="L31" s="72">
        <f t="shared" si="6"/>
        <v>0</v>
      </c>
      <c r="M31" s="72">
        <f t="shared" si="7"/>
        <v>0</v>
      </c>
      <c r="N31" s="72">
        <f t="shared" si="8"/>
        <v>0</v>
      </c>
      <c r="Q31" s="80"/>
    </row>
    <row r="32" spans="3:17" hidden="1" outlineLevel="1" x14ac:dyDescent="0.25">
      <c r="C32" s="10" t="s">
        <v>89</v>
      </c>
      <c r="D32" s="11"/>
      <c r="E32" s="72">
        <f>-(SUMIFS('Journal Entries'!$L:$L,'Journal Entries'!$K:$K,$C32,'Journal Entries'!$D:$D,"&lt;="&amp;'Balance Sheet'!E$7,'Journal Entries'!$D:$D,"&gt;"&amp;'Balance Sheet'!D$7))+D32</f>
        <v>0</v>
      </c>
      <c r="F32" s="72">
        <f>-(SUMIFS('Journal Entries'!$L:$L,'Journal Entries'!$K:$K,$C32,'Journal Entries'!$D:$D,"&lt;="&amp;'Balance Sheet'!F$7,'Journal Entries'!$D:$D,"&gt;"&amp;'Balance Sheet'!E$7))+E32</f>
        <v>0</v>
      </c>
      <c r="G32" s="72">
        <f>-(SUMIFS('Journal Entries'!$L:$L,'Journal Entries'!$K:$K,$C32,'Journal Entries'!$D:$D,"&lt;="&amp;'Balance Sheet'!G$7,'Journal Entries'!$D:$D,"&gt;"&amp;'Balance Sheet'!F$7))+F32</f>
        <v>0</v>
      </c>
      <c r="H32" s="72">
        <f>-(SUMIFS('Journal Entries'!$L:$L,'Journal Entries'!$K:$K,$C32,'Journal Entries'!$D:$D,"&lt;="&amp;'Balance Sheet'!H$7,'Journal Entries'!$D:$D,"&gt;"&amp;'Balance Sheet'!G$7))+G32</f>
        <v>0</v>
      </c>
      <c r="I32" s="88"/>
      <c r="J32" s="10" t="str">
        <f t="shared" si="0"/>
        <v>Director fees payable</v>
      </c>
      <c r="K32" s="72">
        <f t="shared" si="5"/>
        <v>0</v>
      </c>
      <c r="L32" s="72">
        <f t="shared" si="6"/>
        <v>0</v>
      </c>
      <c r="M32" s="72">
        <f t="shared" si="7"/>
        <v>0</v>
      </c>
      <c r="N32" s="72">
        <f t="shared" si="8"/>
        <v>0</v>
      </c>
      <c r="Q32" s="80"/>
    </row>
    <row r="33" spans="2:17" hidden="1" outlineLevel="1" x14ac:dyDescent="0.25">
      <c r="C33" s="10" t="s">
        <v>384</v>
      </c>
      <c r="D33" s="11"/>
      <c r="E33" s="72">
        <f>-(SUMIFS('Journal Entries'!$L:$L,'Journal Entries'!$K:$K,$C33,'Journal Entries'!$D:$D,"&lt;="&amp;'Balance Sheet'!E$7,'Journal Entries'!$D:$D,"&gt;"&amp;'Balance Sheet'!D$7))+D33</f>
        <v>0</v>
      </c>
      <c r="F33" s="72">
        <f>-(SUMIFS('Journal Entries'!$L:$L,'Journal Entries'!$K:$K,$C33,'Journal Entries'!$D:$D,"&lt;="&amp;'Balance Sheet'!F$7,'Journal Entries'!$D:$D,"&gt;"&amp;'Balance Sheet'!E$7))+E33</f>
        <v>0</v>
      </c>
      <c r="G33" s="72">
        <f>-(SUMIFS('Journal Entries'!$L:$L,'Journal Entries'!$K:$K,$C33,'Journal Entries'!$D:$D,"&lt;="&amp;'Balance Sheet'!G$7,'Journal Entries'!$D:$D,"&gt;"&amp;'Balance Sheet'!F$7))+F33</f>
        <v>0</v>
      </c>
      <c r="H33" s="72">
        <f>-(SUMIFS('Journal Entries'!$L:$L,'Journal Entries'!$K:$K,$C33,'Journal Entries'!$D:$D,"&lt;="&amp;'Balance Sheet'!H$7,'Journal Entries'!$D:$D,"&gt;"&amp;'Balance Sheet'!G$7))+G33</f>
        <v>0</v>
      </c>
      <c r="I33" s="88"/>
      <c r="J33" s="10" t="str">
        <f t="shared" si="0"/>
        <v>Compliance fees payable</v>
      </c>
      <c r="K33" s="72">
        <f t="shared" si="5"/>
        <v>0</v>
      </c>
      <c r="L33" s="72">
        <f t="shared" si="6"/>
        <v>0</v>
      </c>
      <c r="M33" s="72">
        <f t="shared" si="7"/>
        <v>0</v>
      </c>
      <c r="N33" s="72">
        <f t="shared" si="8"/>
        <v>0</v>
      </c>
      <c r="Q33" s="80"/>
    </row>
    <row r="34" spans="2:17" hidden="1" outlineLevel="1" x14ac:dyDescent="0.25">
      <c r="C34" s="10" t="s">
        <v>90</v>
      </c>
      <c r="D34" s="11"/>
      <c r="E34" s="72">
        <f>-(SUMIFS('Journal Entries'!$L:$L,'Journal Entries'!$K:$K,$C34,'Journal Entries'!$D:$D,"&lt;="&amp;'Balance Sheet'!E$7,'Journal Entries'!$D:$D,"&gt;"&amp;'Balance Sheet'!D$7))+D34</f>
        <v>0</v>
      </c>
      <c r="F34" s="72">
        <f>-(SUMIFS('Journal Entries'!$L:$L,'Journal Entries'!$K:$K,$C34,'Journal Entries'!$D:$D,"&lt;="&amp;'Balance Sheet'!F$7,'Journal Entries'!$D:$D,"&gt;"&amp;'Balance Sheet'!E$7))+E34</f>
        <v>0</v>
      </c>
      <c r="G34" s="72">
        <f>-(SUMIFS('Journal Entries'!$L:$L,'Journal Entries'!$K:$K,$C34,'Journal Entries'!$D:$D,"&lt;="&amp;'Balance Sheet'!G$7,'Journal Entries'!$D:$D,"&gt;"&amp;'Balance Sheet'!F$7))+F34</f>
        <v>0</v>
      </c>
      <c r="H34" s="72">
        <f>-(SUMIFS('Journal Entries'!$L:$L,'Journal Entries'!$K:$K,$C34,'Journal Entries'!$D:$D,"&lt;="&amp;'Balance Sheet'!H$7,'Journal Entries'!$D:$D,"&gt;"&amp;'Balance Sheet'!G$7))+G34</f>
        <v>0</v>
      </c>
      <c r="I34" s="88"/>
      <c r="J34" s="10" t="str">
        <f t="shared" si="0"/>
        <v>Insurance fees payable</v>
      </c>
      <c r="K34" s="72">
        <f t="shared" si="5"/>
        <v>0</v>
      </c>
      <c r="L34" s="72">
        <f t="shared" si="6"/>
        <v>0</v>
      </c>
      <c r="M34" s="72">
        <f t="shared" si="7"/>
        <v>0</v>
      </c>
      <c r="N34" s="72">
        <f t="shared" si="8"/>
        <v>0</v>
      </c>
      <c r="Q34" s="80"/>
    </row>
    <row r="35" spans="2:17" hidden="1" outlineLevel="1" x14ac:dyDescent="0.25">
      <c r="C35" s="10" t="s">
        <v>91</v>
      </c>
      <c r="D35" s="11"/>
      <c r="E35" s="72">
        <f>-(SUMIFS('Journal Entries'!$L:$L,'Journal Entries'!$K:$K,$C35,'Journal Entries'!$D:$D,"&lt;="&amp;'Balance Sheet'!E$7,'Journal Entries'!$D:$D,"&gt;"&amp;'Balance Sheet'!D$7))+D35</f>
        <v>0</v>
      </c>
      <c r="F35" s="72">
        <f>-(SUMIFS('Journal Entries'!$L:$L,'Journal Entries'!$K:$K,$C35,'Journal Entries'!$D:$D,"&lt;="&amp;'Balance Sheet'!F$7,'Journal Entries'!$D:$D,"&gt;"&amp;'Balance Sheet'!E$7))+E35</f>
        <v>0</v>
      </c>
      <c r="G35" s="72">
        <f>-(SUMIFS('Journal Entries'!$L:$L,'Journal Entries'!$K:$K,$C35,'Journal Entries'!$D:$D,"&lt;="&amp;'Balance Sheet'!G$7,'Journal Entries'!$D:$D,"&gt;"&amp;'Balance Sheet'!F$7))+F35</f>
        <v>0</v>
      </c>
      <c r="H35" s="72">
        <f>-(SUMIFS('Journal Entries'!$L:$L,'Journal Entries'!$K:$K,$C35,'Journal Entries'!$D:$D,"&lt;="&amp;'Balance Sheet'!H$7,'Journal Entries'!$D:$D,"&gt;"&amp;'Balance Sheet'!G$7))+G35</f>
        <v>0</v>
      </c>
      <c r="I35" s="88"/>
      <c r="J35" s="10" t="str">
        <f t="shared" si="0"/>
        <v>Data market fees payable</v>
      </c>
      <c r="K35" s="72">
        <f t="shared" si="5"/>
        <v>0</v>
      </c>
      <c r="L35" s="72">
        <f t="shared" si="6"/>
        <v>0</v>
      </c>
      <c r="M35" s="72">
        <f t="shared" si="7"/>
        <v>0</v>
      </c>
      <c r="N35" s="72">
        <f t="shared" si="8"/>
        <v>0</v>
      </c>
      <c r="Q35" s="80"/>
    </row>
    <row r="36" spans="2:17" hidden="1" outlineLevel="1" x14ac:dyDescent="0.25">
      <c r="C36" s="10" t="s">
        <v>92</v>
      </c>
      <c r="D36" s="11"/>
      <c r="E36" s="72">
        <f>-(SUMIFS('Journal Entries'!$L:$L,'Journal Entries'!$K:$K,$C36,'Journal Entries'!$D:$D,"&lt;="&amp;'Balance Sheet'!E$7,'Journal Entries'!$D:$D,"&gt;"&amp;'Balance Sheet'!D$7))+D36</f>
        <v>0</v>
      </c>
      <c r="F36" s="72">
        <f>-(SUMIFS('Journal Entries'!$L:$L,'Journal Entries'!$K:$K,$C36,'Journal Entries'!$D:$D,"&lt;="&amp;'Balance Sheet'!F$7,'Journal Entries'!$D:$D,"&gt;"&amp;'Balance Sheet'!E$7))+E36</f>
        <v>0</v>
      </c>
      <c r="G36" s="72">
        <f>-(SUMIFS('Journal Entries'!$L:$L,'Journal Entries'!$K:$K,$C36,'Journal Entries'!$D:$D,"&lt;="&amp;'Balance Sheet'!G$7,'Journal Entries'!$D:$D,"&gt;"&amp;'Balance Sheet'!F$7))+F36</f>
        <v>0</v>
      </c>
      <c r="H36" s="72">
        <f>-(SUMIFS('Journal Entries'!$L:$L,'Journal Entries'!$K:$K,$C36,'Journal Entries'!$D:$D,"&lt;="&amp;'Balance Sheet'!H$7,'Journal Entries'!$D:$D,"&gt;"&amp;'Balance Sheet'!G$7))+G36</f>
        <v>0</v>
      </c>
      <c r="I36" s="88"/>
      <c r="J36" s="10" t="str">
        <f t="shared" si="0"/>
        <v>Due diligence fees payable</v>
      </c>
      <c r="K36" s="72">
        <f t="shared" si="5"/>
        <v>0</v>
      </c>
      <c r="L36" s="72">
        <f t="shared" si="6"/>
        <v>0</v>
      </c>
      <c r="M36" s="72">
        <f t="shared" si="7"/>
        <v>0</v>
      </c>
      <c r="N36" s="72">
        <f t="shared" si="8"/>
        <v>0</v>
      </c>
      <c r="Q36" s="80"/>
    </row>
    <row r="37" spans="2:17" hidden="1" outlineLevel="1" x14ac:dyDescent="0.25">
      <c r="C37" s="10" t="s">
        <v>78</v>
      </c>
      <c r="D37" s="11"/>
      <c r="E37" s="72">
        <f>-(SUMIFS('Journal Entries'!$L:$L,'Journal Entries'!$K:$K,$C37,'Journal Entries'!$D:$D,"&lt;="&amp;'Balance Sheet'!E$7,'Journal Entries'!$D:$D,"&gt;"&amp;'Balance Sheet'!D$7))+D37</f>
        <v>0</v>
      </c>
      <c r="F37" s="72">
        <f>-(SUMIFS('Journal Entries'!$L:$L,'Journal Entries'!$K:$K,$C37,'Journal Entries'!$D:$D,"&lt;="&amp;'Balance Sheet'!F$7,'Journal Entries'!$D:$D,"&gt;"&amp;'Balance Sheet'!E$7))+E37</f>
        <v>0</v>
      </c>
      <c r="G37" s="72">
        <f>-(SUMIFS('Journal Entries'!$L:$L,'Journal Entries'!$K:$K,$C37,'Journal Entries'!$D:$D,"&lt;="&amp;'Balance Sheet'!G$7,'Journal Entries'!$D:$D,"&gt;"&amp;'Balance Sheet'!F$7))+F37</f>
        <v>0</v>
      </c>
      <c r="H37" s="72">
        <f>-(SUMIFS('Journal Entries'!$L:$L,'Journal Entries'!$K:$K,$C37,'Journal Entries'!$D:$D,"&lt;="&amp;'Balance Sheet'!H$7,'Journal Entries'!$D:$D,"&gt;"&amp;'Balance Sheet'!G$7))+G37</f>
        <v>0</v>
      </c>
      <c r="I37" s="88"/>
      <c r="J37" s="10" t="str">
        <f t="shared" si="0"/>
        <v>Interest payable</v>
      </c>
      <c r="K37" s="72">
        <f t="shared" si="5"/>
        <v>0</v>
      </c>
      <c r="L37" s="72">
        <f t="shared" si="6"/>
        <v>0</v>
      </c>
      <c r="M37" s="72">
        <f t="shared" si="7"/>
        <v>0</v>
      </c>
      <c r="N37" s="72">
        <f t="shared" si="8"/>
        <v>0</v>
      </c>
      <c r="Q37" s="80"/>
    </row>
    <row r="38" spans="2:17" hidden="1" outlineLevel="1" x14ac:dyDescent="0.25">
      <c r="C38" s="10" t="s">
        <v>79</v>
      </c>
      <c r="D38" s="11"/>
      <c r="E38" s="72">
        <f>-(SUMIFS('Journal Entries'!$L:$L,'Journal Entries'!$K:$K,$C38,'Journal Entries'!$D:$D,"&lt;="&amp;'Balance Sheet'!E$7,'Journal Entries'!$D:$D,"&gt;"&amp;'Balance Sheet'!D$7))+D38</f>
        <v>0</v>
      </c>
      <c r="F38" s="72">
        <f>-(SUMIFS('Journal Entries'!$L:$L,'Journal Entries'!$K:$K,$C38,'Journal Entries'!$D:$D,"&lt;="&amp;'Balance Sheet'!F$7,'Journal Entries'!$D:$D,"&gt;"&amp;'Balance Sheet'!E$7))+E38</f>
        <v>0</v>
      </c>
      <c r="G38" s="72">
        <f>-(SUMIFS('Journal Entries'!$L:$L,'Journal Entries'!$K:$K,$C38,'Journal Entries'!$D:$D,"&lt;="&amp;'Balance Sheet'!G$7,'Journal Entries'!$D:$D,"&gt;"&amp;'Balance Sheet'!F$7))+F38</f>
        <v>0</v>
      </c>
      <c r="H38" s="72">
        <f>-(SUMIFS('Journal Entries'!$L:$L,'Journal Entries'!$K:$K,$C38,'Journal Entries'!$D:$D,"&lt;="&amp;'Balance Sheet'!H$7,'Journal Entries'!$D:$D,"&gt;"&amp;'Balance Sheet'!G$7))+G38</f>
        <v>0</v>
      </c>
      <c r="I38" s="88"/>
      <c r="J38" s="10" t="str">
        <f t="shared" si="0"/>
        <v>Dividend payable</v>
      </c>
      <c r="K38" s="72">
        <f t="shared" si="5"/>
        <v>0</v>
      </c>
      <c r="L38" s="72">
        <f t="shared" si="6"/>
        <v>0</v>
      </c>
      <c r="M38" s="72">
        <f t="shared" si="7"/>
        <v>0</v>
      </c>
      <c r="N38" s="72">
        <f t="shared" si="8"/>
        <v>0</v>
      </c>
      <c r="Q38" s="80"/>
    </row>
    <row r="39" spans="2:17" hidden="1" outlineLevel="1" x14ac:dyDescent="0.25">
      <c r="C39" s="10" t="s">
        <v>93</v>
      </c>
      <c r="D39" s="11"/>
      <c r="E39" s="72">
        <f>-(SUMIFS('Journal Entries'!$L:$L,'Journal Entries'!$K:$K,$C39,'Journal Entries'!$D:$D,"&lt;="&amp;'Balance Sheet'!E$7,'Journal Entries'!$D:$D,"&gt;"&amp;'Balance Sheet'!D$7))+D39</f>
        <v>0</v>
      </c>
      <c r="F39" s="72">
        <f>-(SUMIFS('Journal Entries'!$L:$L,'Journal Entries'!$K:$K,$C39,'Journal Entries'!$D:$D,"&lt;="&amp;'Balance Sheet'!F$7,'Journal Entries'!$D:$D,"&gt;"&amp;'Balance Sheet'!E$7))+E39</f>
        <v>0</v>
      </c>
      <c r="G39" s="72">
        <f>-(SUMIFS('Journal Entries'!$L:$L,'Journal Entries'!$K:$K,$C39,'Journal Entries'!$D:$D,"&lt;="&amp;'Balance Sheet'!G$7,'Journal Entries'!$D:$D,"&gt;"&amp;'Balance Sheet'!F$7))+F39</f>
        <v>0</v>
      </c>
      <c r="H39" s="72">
        <f>-(SUMIFS('Journal Entries'!$L:$L,'Journal Entries'!$K:$K,$C39,'Journal Entries'!$D:$D,"&lt;="&amp;'Balance Sheet'!H$7,'Journal Entries'!$D:$D,"&gt;"&amp;'Balance Sheet'!G$7))+G39</f>
        <v>0</v>
      </c>
      <c r="I39" s="88"/>
      <c r="J39" s="10" t="str">
        <f t="shared" si="0"/>
        <v>Other professional fees payable</v>
      </c>
      <c r="K39" s="72">
        <f t="shared" si="5"/>
        <v>0</v>
      </c>
      <c r="L39" s="72">
        <f t="shared" si="6"/>
        <v>0</v>
      </c>
      <c r="M39" s="72">
        <f t="shared" si="7"/>
        <v>0</v>
      </c>
      <c r="N39" s="72">
        <f t="shared" si="8"/>
        <v>0</v>
      </c>
      <c r="Q39" s="80"/>
    </row>
    <row r="40" spans="2:17" hidden="1" outlineLevel="1" x14ac:dyDescent="0.25">
      <c r="C40" s="10" t="s">
        <v>81</v>
      </c>
      <c r="D40" s="11"/>
      <c r="E40" s="72">
        <f>-(SUMIFS('Journal Entries'!$L:$L,'Journal Entries'!$K:$K,$C40,'Journal Entries'!$D:$D,"&lt;="&amp;'Balance Sheet'!E$7,'Journal Entries'!$D:$D,"&gt;"&amp;'Balance Sheet'!D$7))+D40</f>
        <v>0</v>
      </c>
      <c r="F40" s="72">
        <f>-(SUMIFS('Journal Entries'!$L:$L,'Journal Entries'!$K:$K,$C40,'Journal Entries'!$D:$D,"&lt;="&amp;'Balance Sheet'!F$7,'Journal Entries'!$D:$D,"&gt;"&amp;'Balance Sheet'!E$7))+E40</f>
        <v>0</v>
      </c>
      <c r="G40" s="72">
        <f>-(SUMIFS('Journal Entries'!$L:$L,'Journal Entries'!$K:$K,$C40,'Journal Entries'!$D:$D,"&lt;="&amp;'Balance Sheet'!G$7,'Journal Entries'!$D:$D,"&gt;"&amp;'Balance Sheet'!F$7))+F40</f>
        <v>0</v>
      </c>
      <c r="H40" s="72">
        <f>-(SUMIFS('Journal Entries'!$L:$L,'Journal Entries'!$K:$K,$C40,'Journal Entries'!$D:$D,"&lt;="&amp;'Balance Sheet'!H$7,'Journal Entries'!$D:$D,"&gt;"&amp;'Balance Sheet'!G$7))+G40</f>
        <v>0</v>
      </c>
      <c r="I40" s="88"/>
      <c r="J40" s="10" t="str">
        <f t="shared" si="0"/>
        <v>Redemptions payable</v>
      </c>
      <c r="K40" s="72">
        <f t="shared" si="5"/>
        <v>0</v>
      </c>
      <c r="L40" s="72">
        <f t="shared" si="6"/>
        <v>0</v>
      </c>
      <c r="M40" s="72">
        <f t="shared" si="7"/>
        <v>0</v>
      </c>
      <c r="N40" s="72">
        <f t="shared" si="8"/>
        <v>0</v>
      </c>
      <c r="Q40" s="80"/>
    </row>
    <row r="41" spans="2:17" hidden="1" outlineLevel="1" x14ac:dyDescent="0.25">
      <c r="C41" s="10" t="s">
        <v>104</v>
      </c>
      <c r="D41" s="11"/>
      <c r="E41" s="72">
        <f>-(SUMIFS('Journal Entries'!$L:$L,'Journal Entries'!$K:$K,$C41,'Journal Entries'!$D:$D,"&lt;="&amp;'Balance Sheet'!E$7,'Journal Entries'!$D:$D,"&gt;"&amp;'Balance Sheet'!D$7))+D41</f>
        <v>0</v>
      </c>
      <c r="F41" s="72">
        <f>-(SUMIFS('Journal Entries'!$L:$L,'Journal Entries'!$K:$K,$C41,'Journal Entries'!$D:$D,"&lt;="&amp;'Balance Sheet'!F$7,'Journal Entries'!$D:$D,"&gt;"&amp;'Balance Sheet'!E$7))+E41</f>
        <v>0</v>
      </c>
      <c r="G41" s="72">
        <f>-(SUMIFS('Journal Entries'!$L:$L,'Journal Entries'!$K:$K,$C41,'Journal Entries'!$D:$D,"&lt;="&amp;'Balance Sheet'!G$7,'Journal Entries'!$D:$D,"&gt;"&amp;'Balance Sheet'!F$7))+F41</f>
        <v>0</v>
      </c>
      <c r="H41" s="72">
        <f>-(SUMIFS('Journal Entries'!$L:$L,'Journal Entries'!$K:$K,$C41,'Journal Entries'!$D:$D,"&lt;="&amp;'Balance Sheet'!H$7,'Journal Entries'!$D:$D,"&gt;"&amp;'Balance Sheet'!G$7))+G41</f>
        <v>0</v>
      </c>
      <c r="I41" s="88"/>
      <c r="J41" s="10" t="str">
        <f t="shared" si="0"/>
        <v>Other Liabilities</v>
      </c>
      <c r="K41" s="72">
        <f t="shared" si="5"/>
        <v>0</v>
      </c>
      <c r="L41" s="72">
        <f t="shared" si="6"/>
        <v>0</v>
      </c>
      <c r="M41" s="72">
        <f t="shared" si="7"/>
        <v>0</v>
      </c>
      <c r="N41" s="72">
        <f t="shared" si="8"/>
        <v>0</v>
      </c>
      <c r="Q41" s="80"/>
    </row>
    <row r="42" spans="2:17" collapsed="1" x14ac:dyDescent="0.25">
      <c r="D42" s="11"/>
      <c r="E42" s="73"/>
      <c r="F42" s="73"/>
      <c r="G42" s="73"/>
      <c r="H42" s="73"/>
      <c r="I42" s="73"/>
      <c r="K42" s="73"/>
      <c r="L42" s="73"/>
      <c r="M42" s="73"/>
      <c r="N42" s="73"/>
      <c r="Q42" s="80"/>
    </row>
    <row r="43" spans="2:17" x14ac:dyDescent="0.25">
      <c r="C43" s="11" t="s">
        <v>44</v>
      </c>
      <c r="D43" s="11"/>
      <c r="E43" s="83">
        <f>SUM(E25:E39)</f>
        <v>15000</v>
      </c>
      <c r="F43" s="83">
        <f>SUM(F25:F39)</f>
        <v>30000</v>
      </c>
      <c r="G43" s="83">
        <f>SUM(G25:G39)</f>
        <v>45000</v>
      </c>
      <c r="H43" s="83">
        <f>SUM(H25:H39)</f>
        <v>60000</v>
      </c>
      <c r="I43" s="84"/>
      <c r="J43" s="11" t="str">
        <f t="shared" si="0"/>
        <v>Total Liabilities</v>
      </c>
      <c r="K43" s="83">
        <f>SUM(K25:K39)</f>
        <v>15000</v>
      </c>
      <c r="L43" s="83">
        <f>SUM(L25:L39)</f>
        <v>30000</v>
      </c>
      <c r="M43" s="83">
        <f>SUM(M25:M39)</f>
        <v>45000</v>
      </c>
      <c r="N43" s="83">
        <f>SUM(N25:N39)</f>
        <v>898754.03513283492</v>
      </c>
      <c r="Q43" s="80"/>
    </row>
    <row r="44" spans="2:17" x14ac:dyDescent="0.25">
      <c r="C44" s="11"/>
      <c r="D44" s="11"/>
      <c r="E44" s="64"/>
      <c r="J44" s="11"/>
      <c r="K44" s="64"/>
      <c r="Q44" s="80"/>
    </row>
    <row r="45" spans="2:17" x14ac:dyDescent="0.25">
      <c r="C45" s="11" t="s">
        <v>45</v>
      </c>
      <c r="D45" s="11"/>
      <c r="E45" s="64"/>
      <c r="J45" s="11" t="str">
        <f t="shared" si="0"/>
        <v>Beginning Capital</v>
      </c>
      <c r="K45" s="64"/>
      <c r="Q45" s="80"/>
    </row>
    <row r="46" spans="2:17" x14ac:dyDescent="0.25">
      <c r="B46" s="10" t="s">
        <v>94</v>
      </c>
      <c r="C46" s="10" t="s">
        <v>46</v>
      </c>
      <c r="D46" s="11"/>
      <c r="E46" s="72">
        <f>-(SUMIFS('Journal Entries'!$L:$L,'Journal Entries'!$K:$K,$B46,'Journal Entries'!$D:$D,"&lt;="&amp;'Balance Sheet'!E$7,'Journal Entries'!$D:$D,"&gt;"&amp;'Balance Sheet'!D$7))+D46</f>
        <v>5600000</v>
      </c>
      <c r="F46" s="72">
        <f>-(SUMIFS('Journal Entries'!$L:$L,'Journal Entries'!$K:$K,$B46,'Journal Entries'!$D:$D,"&lt;="&amp;'Balance Sheet'!F$7,'Journal Entries'!$D:$D,"&gt;"&amp;'Balance Sheet'!E$7))+E46</f>
        <v>15000000</v>
      </c>
      <c r="G46" s="72">
        <f>-(SUMIFS('Journal Entries'!$L:$L,'Journal Entries'!$K:$K,$B46,'Journal Entries'!$D:$D,"&lt;="&amp;'Balance Sheet'!G$7,'Journal Entries'!$D:$D,"&gt;"&amp;'Balance Sheet'!F$7))+F46</f>
        <v>15000000</v>
      </c>
      <c r="H46" s="72">
        <f>-(SUMIFS('Journal Entries'!$L:$L,'Journal Entries'!$K:$K,$B46,'Journal Entries'!$D:$D,"&lt;="&amp;'Balance Sheet'!H$7,'Journal Entries'!$D:$D,"&gt;"&amp;'Balance Sheet'!G$7))+G46</f>
        <v>15000000</v>
      </c>
      <c r="I46" s="88"/>
      <c r="J46" s="10" t="str">
        <f t="shared" si="0"/>
        <v>Capital contribution</v>
      </c>
      <c r="K46" s="72">
        <f t="shared" ref="K46:N47" si="9">+E46</f>
        <v>5600000</v>
      </c>
      <c r="L46" s="72">
        <f t="shared" si="9"/>
        <v>15000000</v>
      </c>
      <c r="M46" s="72">
        <f t="shared" si="9"/>
        <v>15000000</v>
      </c>
      <c r="N46" s="72">
        <f t="shared" si="9"/>
        <v>15000000</v>
      </c>
      <c r="Q46" s="80"/>
    </row>
    <row r="47" spans="2:17" x14ac:dyDescent="0.25">
      <c r="B47" s="10" t="s">
        <v>95</v>
      </c>
      <c r="C47" s="10" t="s">
        <v>47</v>
      </c>
      <c r="D47" s="11"/>
      <c r="E47" s="72">
        <f>-(SUMIFS('Journal Entries'!$L:$L,'Journal Entries'!$K:$K,$B47,'Journal Entries'!$D:$D,"&lt;="&amp;'Balance Sheet'!E$7,'Journal Entries'!$D:$D,"&gt;"&amp;'Balance Sheet'!D$7))+D47</f>
        <v>0</v>
      </c>
      <c r="F47" s="72">
        <f>-(SUMIFS('Journal Entries'!$L:$L,'Journal Entries'!$K:$K,$B47,'Journal Entries'!$D:$D,"&lt;="&amp;'Balance Sheet'!F$7,'Journal Entries'!$D:$D,"&gt;"&amp;'Balance Sheet'!E$7))+E47</f>
        <v>0</v>
      </c>
      <c r="G47" s="72">
        <f>-(SUMIFS('Journal Entries'!$L:$L,'Journal Entries'!$K:$K,$B47,'Journal Entries'!$D:$D,"&lt;="&amp;'Balance Sheet'!G$7,'Journal Entries'!$D:$D,"&gt;"&amp;'Balance Sheet'!F$7))+F47</f>
        <v>0</v>
      </c>
      <c r="H47" s="72">
        <f>-(SUMIFS('Journal Entries'!$L:$L,'Journal Entries'!$K:$K,$B47,'Journal Entries'!$D:$D,"&lt;="&amp;'Balance Sheet'!H$7,'Journal Entries'!$D:$D,"&gt;"&amp;'Balance Sheet'!G$7))+G47</f>
        <v>-10113833.090072921</v>
      </c>
      <c r="I47" s="73"/>
      <c r="J47" s="10" t="str">
        <f t="shared" si="0"/>
        <v>Capital distribution</v>
      </c>
      <c r="K47" s="72">
        <f t="shared" si="9"/>
        <v>0</v>
      </c>
      <c r="L47" s="72">
        <f t="shared" si="9"/>
        <v>0</v>
      </c>
      <c r="M47" s="72">
        <f t="shared" si="9"/>
        <v>0</v>
      </c>
      <c r="N47" s="72">
        <f t="shared" si="9"/>
        <v>-10113833.090072921</v>
      </c>
      <c r="Q47" s="80"/>
    </row>
    <row r="48" spans="2:17" x14ac:dyDescent="0.25">
      <c r="C48" s="10" t="s">
        <v>48</v>
      </c>
      <c r="D48" s="11"/>
      <c r="E48" s="78">
        <f>+'Income Statement'!E37</f>
        <v>-146083.33333333334</v>
      </c>
      <c r="F48" s="78">
        <f>+'Income Statement'!F37</f>
        <v>-139666.66666666666</v>
      </c>
      <c r="G48" s="78">
        <f>+'Income Statement'!G37</f>
        <v>-19460.497678065673</v>
      </c>
      <c r="H48" s="78">
        <f>+'Income Statement'!H37</f>
        <v>5693770.1756641744</v>
      </c>
      <c r="I48" s="90"/>
      <c r="J48" s="10" t="str">
        <f t="shared" si="0"/>
        <v>Net Performance allocation</v>
      </c>
      <c r="K48" s="78">
        <f>+'Income Statement'!K37</f>
        <v>-146083.33333333334</v>
      </c>
      <c r="L48" s="78">
        <f>+'Income Statement'!L37</f>
        <v>-139666.66666666666</v>
      </c>
      <c r="M48" s="78">
        <f>+'Income Statement'!M37</f>
        <v>-19460.497678065673</v>
      </c>
      <c r="N48" s="78">
        <f>+'Income Statement'!N37</f>
        <v>4855016.1405313397</v>
      </c>
      <c r="Q48" s="80"/>
    </row>
    <row r="49" spans="3:17" x14ac:dyDescent="0.25">
      <c r="C49" s="11" t="s">
        <v>587</v>
      </c>
      <c r="D49" s="11"/>
      <c r="E49" s="85">
        <f>+E46+E48+E47</f>
        <v>5453916.666666667</v>
      </c>
      <c r="F49" s="85">
        <f>+F46+F48+F47</f>
        <v>14860333.333333334</v>
      </c>
      <c r="G49" s="85">
        <f>+G46+G48+G47</f>
        <v>14980539.502321934</v>
      </c>
      <c r="H49" s="85">
        <f>+H46+H48+H47</f>
        <v>10579937.085591255</v>
      </c>
      <c r="I49" s="89"/>
      <c r="J49" s="11" t="str">
        <f t="shared" si="0"/>
        <v>Ending Partners's Capital</v>
      </c>
      <c r="K49" s="85">
        <f>+K46+K48+K47</f>
        <v>5453916.666666667</v>
      </c>
      <c r="L49" s="85">
        <f>+L46+L48+L47</f>
        <v>14860333.333333334</v>
      </c>
      <c r="M49" s="85">
        <f>+M46+M48+M47</f>
        <v>14980539.502321934</v>
      </c>
      <c r="N49" s="85">
        <f>+N46+N48+N47</f>
        <v>9741183.0504584182</v>
      </c>
      <c r="Q49" s="80"/>
    </row>
    <row r="50" spans="3:17" x14ac:dyDescent="0.25">
      <c r="J50" s="10">
        <f t="shared" si="0"/>
        <v>0</v>
      </c>
      <c r="Q50" s="80"/>
    </row>
    <row r="51" spans="3:17" x14ac:dyDescent="0.25">
      <c r="C51" s="10" t="s">
        <v>49</v>
      </c>
      <c r="E51" s="91">
        <f>+E21-E43-E49</f>
        <v>0</v>
      </c>
      <c r="F51" s="91">
        <f>+F21-F43-F49</f>
        <v>0</v>
      </c>
      <c r="G51" s="91">
        <f>+G21-G43-G49</f>
        <v>0</v>
      </c>
      <c r="H51" s="91">
        <f>+H21-H43-H49</f>
        <v>0</v>
      </c>
      <c r="I51" s="73"/>
      <c r="J51" s="10" t="str">
        <f t="shared" si="0"/>
        <v>Check</v>
      </c>
      <c r="K51" s="92">
        <f>+K21-K43-K49</f>
        <v>0</v>
      </c>
      <c r="L51" s="92">
        <f>+L21-L43-L49</f>
        <v>0</v>
      </c>
      <c r="M51" s="92">
        <f>+M21-M43-M49</f>
        <v>0</v>
      </c>
      <c r="N51" s="92">
        <f>+N21-N43-N49</f>
        <v>0</v>
      </c>
      <c r="Q51" s="80"/>
    </row>
    <row r="52" spans="3:17" x14ac:dyDescent="0.25">
      <c r="Q52" s="80"/>
    </row>
    <row r="53" spans="3:17" x14ac:dyDescent="0.25">
      <c r="M53" s="10" t="s">
        <v>436</v>
      </c>
      <c r="N53" s="80">
        <f>+N49-H49</f>
        <v>-838754.03513283655</v>
      </c>
      <c r="Q53" s="80"/>
    </row>
    <row r="54" spans="3:17" x14ac:dyDescent="0.25">
      <c r="M54" s="188" t="s">
        <v>408</v>
      </c>
      <c r="N54" s="441">
        <f>+N53+H63</f>
        <v>-1.6298145055770874E-9</v>
      </c>
      <c r="Q54" s="80"/>
    </row>
    <row r="55" spans="3:17" x14ac:dyDescent="0.25">
      <c r="C55" s="10" t="s">
        <v>70</v>
      </c>
      <c r="E55" s="79">
        <f>+E46</f>
        <v>5600000</v>
      </c>
      <c r="F55" s="79">
        <f>+F46</f>
        <v>15000000</v>
      </c>
      <c r="G55" s="79">
        <f>+G46</f>
        <v>15000000</v>
      </c>
      <c r="H55" s="79">
        <f>+H46</f>
        <v>15000000</v>
      </c>
      <c r="J55" s="79"/>
    </row>
    <row r="56" spans="3:17" x14ac:dyDescent="0.25">
      <c r="C56" s="10" t="s">
        <v>469</v>
      </c>
      <c r="E56" s="79">
        <f>+E48</f>
        <v>-146083.33333333334</v>
      </c>
      <c r="F56" s="79">
        <f>+F48</f>
        <v>-139666.66666666666</v>
      </c>
      <c r="G56" s="79">
        <f>+G48</f>
        <v>-19460.497678065673</v>
      </c>
      <c r="H56" s="79">
        <f>+H48</f>
        <v>5693770.1756641744</v>
      </c>
      <c r="J56" s="79"/>
    </row>
    <row r="57" spans="3:17" x14ac:dyDescent="0.25">
      <c r="C57" s="10" t="s">
        <v>120</v>
      </c>
      <c r="E57" s="79">
        <f>'Income Statement'!E16</f>
        <v>75000</v>
      </c>
      <c r="F57" s="79">
        <f>'Income Statement'!F16</f>
        <v>150000</v>
      </c>
      <c r="G57" s="79">
        <f>'Income Statement'!G16</f>
        <v>225000</v>
      </c>
      <c r="H57" s="79">
        <f>'Income Statement'!H16</f>
        <v>300000</v>
      </c>
      <c r="J57" s="79"/>
    </row>
    <row r="58" spans="3:17" x14ac:dyDescent="0.25">
      <c r="C58" s="93" t="s">
        <v>119</v>
      </c>
      <c r="D58" s="93"/>
      <c r="E58" s="94">
        <f>+E55+E56-E57</f>
        <v>5378916.666666667</v>
      </c>
      <c r="F58" s="94">
        <f>+F55+F56-F57</f>
        <v>14710333.333333334</v>
      </c>
      <c r="G58" s="94">
        <f>+G55+G56-G57</f>
        <v>14755539.502321934</v>
      </c>
      <c r="H58" s="94">
        <f>+H55+H56-H57</f>
        <v>20393770.175664175</v>
      </c>
      <c r="J58" s="79"/>
    </row>
    <row r="59" spans="3:17" x14ac:dyDescent="0.25">
      <c r="C59" s="10" t="s">
        <v>435</v>
      </c>
      <c r="D59" s="95">
        <v>0.08</v>
      </c>
      <c r="E59" s="79">
        <f>+E55*$D59</f>
        <v>448000</v>
      </c>
      <c r="F59" s="79">
        <f>+F55*$D59</f>
        <v>1200000</v>
      </c>
      <c r="G59" s="79">
        <f>+G55*$D59</f>
        <v>1200000</v>
      </c>
      <c r="H59" s="79">
        <f>+H55*$D59</f>
        <v>1200000</v>
      </c>
      <c r="J59" s="79"/>
    </row>
    <row r="60" spans="3:17" x14ac:dyDescent="0.25">
      <c r="C60" s="10" t="s">
        <v>121</v>
      </c>
      <c r="E60" s="79">
        <f>+E48-E57-E59</f>
        <v>-669083.33333333337</v>
      </c>
      <c r="F60" s="79">
        <f>+F48-F57-F59</f>
        <v>-1489666.6666666665</v>
      </c>
      <c r="G60" s="79">
        <f>+G48-G57-G59</f>
        <v>-1444460.4976780657</v>
      </c>
      <c r="H60" s="79">
        <f>+H48-H57-H59</f>
        <v>4193770.1756641744</v>
      </c>
      <c r="J60" s="79"/>
    </row>
    <row r="61" spans="3:17" x14ac:dyDescent="0.25">
      <c r="C61" s="93" t="s">
        <v>122</v>
      </c>
      <c r="D61" s="93"/>
      <c r="E61" s="94" t="str">
        <f>IF(E58&gt;E59,"Yes","No")</f>
        <v>Yes</v>
      </c>
      <c r="F61" s="94" t="str">
        <f>IF(F58&gt;F59,"Yes","No")</f>
        <v>Yes</v>
      </c>
      <c r="G61" s="94" t="str">
        <f>IF(G58&gt;G59,"Yes","No")</f>
        <v>Yes</v>
      </c>
      <c r="H61" s="94" t="str">
        <f>IF(H58&gt;H59,"Yes","No")</f>
        <v>Yes</v>
      </c>
      <c r="J61" s="79"/>
    </row>
    <row r="62" spans="3:17" x14ac:dyDescent="0.25">
      <c r="C62" s="93" t="s">
        <v>123</v>
      </c>
      <c r="D62" s="93"/>
      <c r="E62" s="94" t="str">
        <f>IF(AND(E48&gt;E60,E60&gt;0),"Yes","No")</f>
        <v>No</v>
      </c>
      <c r="F62" s="94" t="str">
        <f>IF(AND(F48&gt;F60,F60&gt;0),"Yes","No")</f>
        <v>No</v>
      </c>
      <c r="G62" s="94" t="str">
        <f>IF(AND(G48&gt;G60,G60&gt;0),"Yes","No")</f>
        <v>No</v>
      </c>
      <c r="H62" s="94" t="str">
        <f>IF(AND(H48&gt;H60,H60&gt;0),"Yes","No")</f>
        <v>Yes</v>
      </c>
      <c r="J62" s="79"/>
    </row>
    <row r="63" spans="3:17" x14ac:dyDescent="0.25">
      <c r="C63" s="10" t="s">
        <v>124</v>
      </c>
      <c r="D63" s="95">
        <v>0.2</v>
      </c>
      <c r="E63" s="96">
        <f>IF(E60&gt;0,(E58-E55)*$D63,0)</f>
        <v>0</v>
      </c>
      <c r="F63" s="96">
        <f>IF(F60&gt;0,(F58-F55)*$D63,0)</f>
        <v>0</v>
      </c>
      <c r="G63" s="96">
        <f>IF(G60&gt;0,(G58-G55)*$D63,0)</f>
        <v>0</v>
      </c>
      <c r="H63" s="96">
        <f>IF(H60&gt;0,H60*$D63,0)</f>
        <v>838754.03513283492</v>
      </c>
      <c r="J63" s="79"/>
    </row>
    <row r="64" spans="3:17" x14ac:dyDescent="0.25">
      <c r="E64" s="79"/>
      <c r="F64" s="79"/>
      <c r="G64" s="79"/>
      <c r="H64" s="79"/>
      <c r="J64" s="79"/>
    </row>
    <row r="65" spans="3:10" x14ac:dyDescent="0.25">
      <c r="J65" s="79"/>
    </row>
    <row r="67" spans="3:10" x14ac:dyDescent="0.25">
      <c r="C67" s="188"/>
    </row>
    <row r="68" spans="3:10" x14ac:dyDescent="0.25">
      <c r="C68" s="188"/>
    </row>
    <row r="69" spans="3:10" x14ac:dyDescent="0.25">
      <c r="C69" s="188"/>
    </row>
    <row r="70" spans="3:10" x14ac:dyDescent="0.25">
      <c r="C70" s="188"/>
    </row>
    <row r="71" spans="3:10" x14ac:dyDescent="0.25">
      <c r="C71" s="188"/>
    </row>
    <row r="72" spans="3:10" x14ac:dyDescent="0.25">
      <c r="C72" s="188"/>
    </row>
    <row r="73" spans="3:10" x14ac:dyDescent="0.25">
      <c r="C73" s="188"/>
    </row>
    <row r="74" spans="3:10" x14ac:dyDescent="0.25">
      <c r="C74" s="188"/>
    </row>
    <row r="75" spans="3:10" x14ac:dyDescent="0.25">
      <c r="C75" s="188"/>
    </row>
    <row r="76" spans="3:10" x14ac:dyDescent="0.25">
      <c r="C76" s="188"/>
    </row>
    <row r="77" spans="3:10" x14ac:dyDescent="0.25">
      <c r="C77" s="188"/>
    </row>
    <row r="78" spans="3:10" x14ac:dyDescent="0.25">
      <c r="C78" s="188"/>
    </row>
    <row r="79" spans="3:10" x14ac:dyDescent="0.25">
      <c r="C79" s="188"/>
    </row>
    <row r="80" spans="3:10" x14ac:dyDescent="0.25">
      <c r="C80" s="188"/>
    </row>
    <row r="81" spans="3:3" x14ac:dyDescent="0.25">
      <c r="C81" s="188"/>
    </row>
    <row r="82" spans="3:3" x14ac:dyDescent="0.25">
      <c r="C82" s="188"/>
    </row>
    <row r="83" spans="3:3" x14ac:dyDescent="0.25">
      <c r="C83" s="188"/>
    </row>
    <row r="84" spans="3:3" x14ac:dyDescent="0.25">
      <c r="C84" s="188"/>
    </row>
    <row r="85" spans="3:3" x14ac:dyDescent="0.25">
      <c r="C85" s="188"/>
    </row>
    <row r="86" spans="3:3" x14ac:dyDescent="0.25">
      <c r="C86" s="188"/>
    </row>
    <row r="87" spans="3:3" x14ac:dyDescent="0.25">
      <c r="C87" s="188"/>
    </row>
    <row r="88" spans="3:3" x14ac:dyDescent="0.25">
      <c r="C88" s="188"/>
    </row>
    <row r="89" spans="3:3" x14ac:dyDescent="0.25">
      <c r="C89" s="188"/>
    </row>
    <row r="90" spans="3:3" x14ac:dyDescent="0.25">
      <c r="C90" s="188"/>
    </row>
    <row r="91" spans="3:3" x14ac:dyDescent="0.25">
      <c r="C91" s="188"/>
    </row>
    <row r="92" spans="3:3" x14ac:dyDescent="0.25">
      <c r="C92" s="188"/>
    </row>
    <row r="93" spans="3:3" x14ac:dyDescent="0.25">
      <c r="C93" s="188"/>
    </row>
    <row r="94" spans="3:3" x14ac:dyDescent="0.25">
      <c r="C94" s="188"/>
    </row>
    <row r="95" spans="3:3" x14ac:dyDescent="0.25">
      <c r="C95" s="188"/>
    </row>
    <row r="96" spans="3:3" x14ac:dyDescent="0.25">
      <c r="C96" s="188"/>
    </row>
    <row r="97" spans="3:3" x14ac:dyDescent="0.25">
      <c r="C97" s="188"/>
    </row>
    <row r="98" spans="3:3" x14ac:dyDescent="0.25">
      <c r="C98" s="188"/>
    </row>
    <row r="99" spans="3:3" x14ac:dyDescent="0.25">
      <c r="C99" s="188"/>
    </row>
    <row r="100" spans="3:3" x14ac:dyDescent="0.25">
      <c r="C100" s="188"/>
    </row>
    <row r="101" spans="3:3" x14ac:dyDescent="0.25">
      <c r="C101" s="188"/>
    </row>
    <row r="102" spans="3:3" x14ac:dyDescent="0.25">
      <c r="C102" s="188"/>
    </row>
    <row r="103" spans="3:3" x14ac:dyDescent="0.25">
      <c r="C103" s="188"/>
    </row>
    <row r="104" spans="3:3" x14ac:dyDescent="0.25">
      <c r="C104" s="188"/>
    </row>
    <row r="105" spans="3:3" x14ac:dyDescent="0.25">
      <c r="C105" s="188"/>
    </row>
    <row r="106" spans="3:3" x14ac:dyDescent="0.25">
      <c r="C106" s="188"/>
    </row>
    <row r="107" spans="3:3" x14ac:dyDescent="0.25">
      <c r="C107" s="188"/>
    </row>
    <row r="108" spans="3:3" x14ac:dyDescent="0.25">
      <c r="C108" s="188"/>
    </row>
    <row r="109" spans="3:3" x14ac:dyDescent="0.25">
      <c r="C109" s="188"/>
    </row>
    <row r="110" spans="3:3" x14ac:dyDescent="0.25">
      <c r="C110" s="188"/>
    </row>
  </sheetData>
  <conditionalFormatting sqref="C1:C1048576">
    <cfRule type="duplicateValues" dxfId="5" priority="2"/>
  </conditionalFormatting>
  <conditionalFormatting sqref="J9:J51">
    <cfRule type="duplicateValues" dxfId="4" priority="1"/>
  </conditionalFormatting>
  <pageMargins left="0.7" right="0.7" top="0.75" bottom="0.75" header="0.3" footer="0.3"/>
  <pageSetup paperSize="9" scale="3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7BB47-BE5F-4B16-A38C-5280EDB0EA9F}">
  <sheetPr>
    <tabColor theme="7" tint="0.79998168889431442"/>
  </sheetPr>
  <dimension ref="A1:S39"/>
  <sheetViews>
    <sheetView showGridLines="0" view="pageBreakPreview" zoomScale="85" zoomScaleNormal="70" zoomScaleSheetLayoutView="85" workbookViewId="0">
      <selection activeCell="F16" sqref="F16"/>
    </sheetView>
  </sheetViews>
  <sheetFormatPr defaultRowHeight="15.75" outlineLevelCol="2" x14ac:dyDescent="0.25"/>
  <cols>
    <col min="1" max="1" width="1.42578125" style="10" customWidth="1"/>
    <col min="2" max="2" width="9.140625" style="10"/>
    <col min="3" max="3" width="41.85546875" style="10" customWidth="1"/>
    <col min="4" max="4" width="11.5703125" style="318" hidden="1" customWidth="1"/>
    <col min="5" max="5" width="15" style="71" customWidth="1" outlineLevel="2"/>
    <col min="6" max="6" width="15.5703125" style="10" customWidth="1" outlineLevel="2"/>
    <col min="7" max="7" width="17.5703125" style="10" customWidth="1" outlineLevel="2"/>
    <col min="8" max="8" width="18.85546875" style="10" customWidth="1" outlineLevel="1"/>
    <col min="9" max="9" width="15.28515625" style="10" customWidth="1" outlineLevel="1"/>
    <col min="10" max="10" width="55.42578125" style="10" customWidth="1" outlineLevel="1"/>
    <col min="11" max="11" width="12.5703125" style="71" bestFit="1" customWidth="1"/>
    <col min="12" max="12" width="12.85546875" style="10" bestFit="1" customWidth="1"/>
    <col min="13" max="13" width="14.5703125" style="10" bestFit="1" customWidth="1"/>
    <col min="14" max="14" width="15.5703125" style="10" bestFit="1" customWidth="1"/>
    <col min="15" max="15" width="14.28515625" style="10" bestFit="1" customWidth="1"/>
    <col min="16" max="16384" width="9.140625" style="10"/>
  </cols>
  <sheetData>
    <row r="1" spans="1:19" s="31" customFormat="1" ht="11.25" customHeight="1" x14ac:dyDescent="0.25">
      <c r="A1" s="37"/>
      <c r="B1" s="36"/>
      <c r="D1" s="315"/>
      <c r="E1" s="38"/>
      <c r="K1" s="38"/>
    </row>
    <row r="2" spans="1:19" s="31" customFormat="1" ht="11.25" customHeight="1" x14ac:dyDescent="0.25">
      <c r="A2" s="37"/>
      <c r="B2" s="36"/>
      <c r="D2" s="315"/>
      <c r="E2" s="38"/>
      <c r="K2" s="38"/>
      <c r="P2" s="10"/>
      <c r="Q2" s="10"/>
      <c r="R2" s="10"/>
      <c r="S2" s="10"/>
    </row>
    <row r="3" spans="1:19" s="11" customFormat="1" x14ac:dyDescent="0.25">
      <c r="C3" s="11" t="str">
        <f>+'FS Cover'!E4</f>
        <v>Good Practices Fund I, L.P.</v>
      </c>
      <c r="D3" s="316"/>
      <c r="E3" s="64"/>
      <c r="K3" s="64"/>
      <c r="P3" s="10"/>
      <c r="Q3" s="10"/>
      <c r="R3" s="10"/>
      <c r="S3" s="10"/>
    </row>
    <row r="4" spans="1:19" s="11" customFormat="1" x14ac:dyDescent="0.25">
      <c r="C4" s="11" t="s">
        <v>50</v>
      </c>
      <c r="D4" s="316"/>
      <c r="E4" s="64"/>
      <c r="K4" s="64"/>
    </row>
    <row r="5" spans="1:19" s="11" customFormat="1" x14ac:dyDescent="0.25">
      <c r="C5" s="11" t="str">
        <f>+'Balance Sheet'!C5</f>
        <v>For the Year Ended December 31, 2024</v>
      </c>
      <c r="D5" s="316"/>
      <c r="E5" s="64"/>
      <c r="K5" s="64"/>
    </row>
    <row r="6" spans="1:19" s="11" customFormat="1" x14ac:dyDescent="0.25">
      <c r="D6" s="316"/>
      <c r="E6" s="64"/>
      <c r="G6" s="65"/>
      <c r="H6" s="65"/>
      <c r="I6" s="66"/>
      <c r="J6" s="64" t="s">
        <v>51</v>
      </c>
      <c r="M6" s="65"/>
      <c r="N6" s="65"/>
      <c r="O6" s="65"/>
      <c r="P6" s="65"/>
      <c r="Q6" s="65"/>
    </row>
    <row r="7" spans="1:19" s="11" customFormat="1" x14ac:dyDescent="0.25">
      <c r="D7" s="317">
        <f>+'Business Plan'!$D$23</f>
        <v>45266</v>
      </c>
      <c r="E7" s="65">
        <f>EOMONTH(D7,3)</f>
        <v>45382</v>
      </c>
      <c r="F7" s="65">
        <f>EOMONTH(E7, 3)</f>
        <v>45473</v>
      </c>
      <c r="G7" s="65">
        <f t="shared" ref="G7:H7" si="0">EOMONTH(F7, 3)</f>
        <v>45565</v>
      </c>
      <c r="H7" s="65">
        <f t="shared" si="0"/>
        <v>45657</v>
      </c>
      <c r="I7" s="66"/>
      <c r="J7" s="545">
        <f>+D7</f>
        <v>45266</v>
      </c>
      <c r="K7" s="52">
        <f>+E7</f>
        <v>45382</v>
      </c>
      <c r="L7" s="52">
        <f>+F7</f>
        <v>45473</v>
      </c>
      <c r="M7" s="52">
        <f>+G7</f>
        <v>45565</v>
      </c>
      <c r="N7" s="52">
        <f>+H7</f>
        <v>45657</v>
      </c>
    </row>
    <row r="8" spans="1:19" x14ac:dyDescent="0.25">
      <c r="C8" s="68"/>
      <c r="E8" s="69"/>
      <c r="F8" s="69"/>
      <c r="G8" s="69"/>
      <c r="H8" s="69"/>
      <c r="I8" s="70"/>
      <c r="K8" s="69"/>
      <c r="L8" s="69"/>
      <c r="M8" s="69"/>
      <c r="N8" s="69"/>
    </row>
    <row r="9" spans="1:19" x14ac:dyDescent="0.25">
      <c r="C9" s="11" t="s">
        <v>39</v>
      </c>
      <c r="D9" s="316"/>
      <c r="J9" s="11" t="str">
        <f>+C9</f>
        <v>Investment Income</v>
      </c>
    </row>
    <row r="10" spans="1:19" x14ac:dyDescent="0.25">
      <c r="C10" s="10" t="s">
        <v>21</v>
      </c>
      <c r="E10" s="72">
        <f>-SUMIFS('Journal Entries'!$L:$L,'Journal Entries'!$K:$K,$C10,'Journal Entries'!$D:$D,"&lt;="&amp;E$7,'Journal Entries'!$D:$D,"&gt;"&amp;D$7)+D10</f>
        <v>0</v>
      </c>
      <c r="F10" s="72">
        <f>-SUMIFS('Journal Entries'!$L:$L,'Journal Entries'!$K:$K,$C10,'Journal Entries'!$D:$D,"&lt;="&amp;F$7,'Journal Entries'!$D:$D,"&gt;"&amp;E$7)+E10</f>
        <v>50833.333333333336</v>
      </c>
      <c r="G10" s="72">
        <f>-SUMIFS('Journal Entries'!$L:$L,'Journal Entries'!$K:$K,$C10,'Journal Entries'!$D:$D,"&lt;="&amp;G$7,'Journal Entries'!$D:$D,"&gt;"&amp;F$7)+F10</f>
        <v>198789.50232193433</v>
      </c>
      <c r="H10" s="72">
        <f>-SUMIFS('Journal Entries'!$L:$L,'Journal Entries'!$K:$K,$C10,'Journal Entries'!$D:$D,"&lt;="&amp;H$7,'Journal Entries'!$D:$D,"&gt;"&amp;G$7)+G10</f>
        <v>339770.1756641746</v>
      </c>
      <c r="I10" s="73"/>
      <c r="J10" s="10" t="str">
        <f t="shared" ref="J10:J35" si="1">+C10</f>
        <v>Interest Income</v>
      </c>
      <c r="K10" s="72">
        <f t="shared" ref="K10:N12" si="2">+E10</f>
        <v>0</v>
      </c>
      <c r="L10" s="72">
        <f t="shared" si="2"/>
        <v>50833.333333333336</v>
      </c>
      <c r="M10" s="72">
        <f t="shared" si="2"/>
        <v>198789.50232193433</v>
      </c>
      <c r="N10" s="72">
        <f t="shared" si="2"/>
        <v>339770.1756641746</v>
      </c>
    </row>
    <row r="11" spans="1:19" x14ac:dyDescent="0.25">
      <c r="C11" s="74" t="s">
        <v>113</v>
      </c>
      <c r="D11" s="319"/>
      <c r="E11" s="72">
        <f>-SUMIFS('Journal Entries'!$L:$L,'Journal Entries'!$K:$K,$C11,'Journal Entries'!$D:$D,"&lt;="&amp;E$7,'Journal Entries'!$D:$D,"&gt;"&amp;D$7)+D11</f>
        <v>36666.666666666664</v>
      </c>
      <c r="F11" s="72">
        <f>-SUMIFS('Journal Entries'!$L:$L,'Journal Entries'!$K:$K,$C11,'Journal Entries'!$D:$D,"&lt;="&amp;F$7,'Journal Entries'!$D:$D,"&gt;"&amp;E$7)+E11</f>
        <v>100000</v>
      </c>
      <c r="G11" s="72">
        <f>-SUMIFS('Journal Entries'!$L:$L,'Journal Entries'!$K:$K,$C11,'Journal Entries'!$D:$D,"&lt;="&amp;G$7,'Journal Entries'!$D:$D,"&gt;"&amp;F$7)+F11</f>
        <v>180000</v>
      </c>
      <c r="H11" s="72">
        <f>-SUMIFS('Journal Entries'!$L:$L,'Journal Entries'!$K:$K,$C11,'Journal Entries'!$D:$D,"&lt;="&amp;H$7,'Journal Entries'!$D:$D,"&gt;"&amp;G$7)+G11</f>
        <v>260000</v>
      </c>
      <c r="I11" s="73"/>
      <c r="J11" s="74" t="str">
        <f t="shared" si="1"/>
        <v>Dividend Income</v>
      </c>
      <c r="K11" s="72">
        <f t="shared" si="2"/>
        <v>36666.666666666664</v>
      </c>
      <c r="L11" s="72">
        <f t="shared" si="2"/>
        <v>100000</v>
      </c>
      <c r="M11" s="72">
        <f t="shared" si="2"/>
        <v>180000</v>
      </c>
      <c r="N11" s="72">
        <f t="shared" si="2"/>
        <v>260000</v>
      </c>
    </row>
    <row r="12" spans="1:19" x14ac:dyDescent="0.25">
      <c r="C12" s="10" t="s">
        <v>23</v>
      </c>
      <c r="E12" s="72">
        <f>-SUMIFS('Journal Entries'!$L:$L,'Journal Entries'!$K:$K,$C12,'Journal Entries'!$D:$D,"&lt;="&amp;E$7,'Journal Entries'!$D:$D,"&gt;"&amp;D$7)+D12</f>
        <v>0</v>
      </c>
      <c r="F12" s="72">
        <f>-SUMIFS('Journal Entries'!$L:$L,'Journal Entries'!$K:$K,$C12,'Journal Entries'!$D:$D,"&lt;="&amp;F$7,'Journal Entries'!$D:$D,"&gt;"&amp;E$7)+E12</f>
        <v>0</v>
      </c>
      <c r="G12" s="72">
        <f>-SUMIFS('Journal Entries'!$L:$L,'Journal Entries'!$K:$K,$C12,'Journal Entries'!$D:$D,"&lt;="&amp;G$7,'Journal Entries'!$D:$D,"&gt;"&amp;F$7)+F12</f>
        <v>0</v>
      </c>
      <c r="H12" s="72">
        <f>-SUMIFS('Journal Entries'!$L:$L,'Journal Entries'!$K:$K,$C12,'Journal Entries'!$D:$D,"&lt;="&amp;H$7,'Journal Entries'!$D:$D,"&gt;"&amp;G$7)+G12</f>
        <v>0</v>
      </c>
      <c r="I12" s="75"/>
      <c r="J12" s="10" t="str">
        <f t="shared" si="1"/>
        <v>Other income</v>
      </c>
      <c r="K12" s="76">
        <f t="shared" si="2"/>
        <v>0</v>
      </c>
      <c r="L12" s="76">
        <f t="shared" si="2"/>
        <v>0</v>
      </c>
      <c r="M12" s="76">
        <f t="shared" si="2"/>
        <v>0</v>
      </c>
      <c r="N12" s="76">
        <f t="shared" si="2"/>
        <v>0</v>
      </c>
    </row>
    <row r="13" spans="1:19" x14ac:dyDescent="0.25">
      <c r="C13" s="11" t="s">
        <v>52</v>
      </c>
      <c r="D13" s="316"/>
      <c r="E13" s="320">
        <f>SUM(E10:E12)</f>
        <v>36666.666666666664</v>
      </c>
      <c r="F13" s="320">
        <f t="shared" ref="F13:H13" si="3">SUM(F10:F12)</f>
        <v>150833.33333333334</v>
      </c>
      <c r="G13" s="320">
        <f t="shared" si="3"/>
        <v>378789.50232193433</v>
      </c>
      <c r="H13" s="320">
        <f t="shared" si="3"/>
        <v>599770.1756641746</v>
      </c>
      <c r="I13" s="77"/>
      <c r="J13" s="11" t="str">
        <f t="shared" si="1"/>
        <v>Total investment income</v>
      </c>
      <c r="K13" s="78">
        <f>SUM(K10:K12)</f>
        <v>36666.666666666664</v>
      </c>
      <c r="L13" s="78">
        <f>SUM(L10:L12)</f>
        <v>150833.33333333334</v>
      </c>
      <c r="M13" s="78">
        <f>SUM(M10:M12)</f>
        <v>378789.50232193433</v>
      </c>
      <c r="N13" s="78">
        <f>SUM(N10:N12)</f>
        <v>599770.1756641746</v>
      </c>
    </row>
    <row r="14" spans="1:19" x14ac:dyDescent="0.25">
      <c r="F14" s="60"/>
      <c r="G14" s="60"/>
      <c r="H14" s="60"/>
      <c r="I14" s="60"/>
      <c r="K14" s="79"/>
      <c r="L14" s="80"/>
      <c r="M14" s="80"/>
      <c r="N14" s="80"/>
    </row>
    <row r="15" spans="1:19" s="11" customFormat="1" x14ac:dyDescent="0.25">
      <c r="C15" s="11" t="s">
        <v>53</v>
      </c>
      <c r="D15" s="316"/>
      <c r="E15" s="64"/>
      <c r="F15" s="61"/>
      <c r="G15" s="61"/>
      <c r="H15" s="61"/>
      <c r="I15" s="61"/>
      <c r="J15" s="11" t="str">
        <f t="shared" si="1"/>
        <v>Expenses</v>
      </c>
      <c r="K15" s="78"/>
      <c r="L15" s="348"/>
      <c r="M15" s="348"/>
      <c r="N15" s="348"/>
    </row>
    <row r="16" spans="1:19" x14ac:dyDescent="0.25">
      <c r="C16" s="10" t="str" cm="1">
        <f t="array" ref="C16:C25">_xlfn.UNIQUE('Chart of Accounts'!D46:D72)</f>
        <v>Management Fee</v>
      </c>
      <c r="E16" s="72">
        <f>+(SUMIFS('Journal Entries'!$L:$L,'Journal Entries'!$M:$M,$C16,'Journal Entries'!$D:$D,"&lt;="&amp;E$7,'Journal Entries'!$D:$D,"&gt;"&amp;D$7))+D16</f>
        <v>75000</v>
      </c>
      <c r="F16" s="72">
        <f>+(SUMIFS('Journal Entries'!$L:$L,'Journal Entries'!$M:$M,$C16,'Journal Entries'!$D:$D,"&lt;="&amp;F$7,'Journal Entries'!$D:$D,"&gt;"&amp;E$7))+E16</f>
        <v>150000</v>
      </c>
      <c r="G16" s="72">
        <f>+(SUMIFS('Journal Entries'!$L:$L,'Journal Entries'!$M:$M,$C16,'Journal Entries'!$D:$D,"&lt;="&amp;G$7,'Journal Entries'!$D:$D,"&gt;"&amp;F$7))+F16</f>
        <v>225000</v>
      </c>
      <c r="H16" s="72">
        <f>+(SUMIFS('Journal Entries'!$L:$L,'Journal Entries'!$M:$M,$C16,'Journal Entries'!$D:$D,"&lt;="&amp;H$7,'Journal Entries'!$D:$D,"&gt;"&amp;G$7))+G16</f>
        <v>300000</v>
      </c>
      <c r="I16" s="73"/>
      <c r="J16" s="10" t="str">
        <f t="shared" si="1"/>
        <v>Management Fee</v>
      </c>
      <c r="K16" s="72">
        <f t="shared" ref="K16:K25" si="4">+E16</f>
        <v>75000</v>
      </c>
      <c r="L16" s="72">
        <f t="shared" ref="L16:L25" si="5">+F16</f>
        <v>150000</v>
      </c>
      <c r="M16" s="72">
        <f t="shared" ref="M16:M25" si="6">+G16</f>
        <v>225000</v>
      </c>
      <c r="N16" s="81">
        <f>+H16+O16</f>
        <v>300000</v>
      </c>
      <c r="O16" s="80"/>
    </row>
    <row r="17" spans="2:14" x14ac:dyDescent="0.25">
      <c r="C17" s="10" t="str">
        <v>Performance Fee</v>
      </c>
      <c r="E17" s="72">
        <f>+(SUMIFS('Journal Entries'!$L:$L,'Journal Entries'!$M:$M,$C17,'Journal Entries'!$D:$D,"&lt;="&amp;E$7,'Journal Entries'!$D:$D,"&gt;"&amp;D$7))+D17</f>
        <v>0</v>
      </c>
      <c r="F17" s="72">
        <f>+(SUMIFS('Journal Entries'!$L:$L,'Journal Entries'!$M:$M,$C17,'Journal Entries'!$D:$D,"&lt;="&amp;F$7,'Journal Entries'!$D:$D,"&gt;"&amp;E$7))+E17</f>
        <v>0</v>
      </c>
      <c r="G17" s="72">
        <f>+(SUMIFS('Journal Entries'!$L:$L,'Journal Entries'!$M:$M,$C17,'Journal Entries'!$D:$D,"&lt;="&amp;G$7,'Journal Entries'!$D:$D,"&gt;"&amp;F$7))+F17</f>
        <v>0</v>
      </c>
      <c r="H17" s="72">
        <f>+(SUMIFS('Journal Entries'!$L:$L,'Journal Entries'!$M:$M,$C17,'Journal Entries'!$D:$D,"&lt;="&amp;H$7,'Journal Entries'!$D:$D,"&gt;"&amp;G$7))+G17</f>
        <v>0</v>
      </c>
      <c r="I17" s="82"/>
      <c r="J17" s="10" t="str">
        <f t="shared" si="1"/>
        <v>Performance Fee</v>
      </c>
      <c r="K17" s="72">
        <f t="shared" si="4"/>
        <v>0</v>
      </c>
      <c r="L17" s="72">
        <f t="shared" si="5"/>
        <v>0</v>
      </c>
      <c r="M17" s="72">
        <f t="shared" si="6"/>
        <v>0</v>
      </c>
      <c r="N17" s="81">
        <f>+'Balance Sheet'!H63</f>
        <v>838754.03513283492</v>
      </c>
    </row>
    <row r="18" spans="2:14" x14ac:dyDescent="0.25">
      <c r="C18" s="10" t="str">
        <v>Professional Fees</v>
      </c>
      <c r="E18" s="72">
        <f>+(SUMIFS('Journal Entries'!$L:$L,'Journal Entries'!$M:$M,$C18,'Journal Entries'!$D:$D,"&lt;="&amp;E$7,'Journal Entries'!$D:$D,"&gt;"&amp;D$7))+D18</f>
        <v>107750</v>
      </c>
      <c r="F18" s="72">
        <f>+(SUMIFS('Journal Entries'!$L:$L,'Journal Entries'!$M:$M,$C18,'Journal Entries'!$D:$D,"&lt;="&amp;F$7,'Journal Entries'!$D:$D,"&gt;"&amp;E$7))+E18</f>
        <v>140500</v>
      </c>
      <c r="G18" s="72">
        <f>+(SUMIFS('Journal Entries'!$L:$L,'Journal Entries'!$M:$M,$C18,'Journal Entries'!$D:$D,"&lt;="&amp;G$7,'Journal Entries'!$D:$D,"&gt;"&amp;F$7))+F18</f>
        <v>173250</v>
      </c>
      <c r="H18" s="72">
        <f>+(SUMIFS('Journal Entries'!$L:$L,'Journal Entries'!$M:$M,$C18,'Journal Entries'!$D:$D,"&lt;="&amp;H$7,'Journal Entries'!$D:$D,"&gt;"&amp;G$7))+G18</f>
        <v>206000</v>
      </c>
      <c r="I18" s="73"/>
      <c r="J18" s="10" t="str">
        <f t="shared" si="1"/>
        <v>Professional Fees</v>
      </c>
      <c r="K18" s="72">
        <f t="shared" si="4"/>
        <v>107750</v>
      </c>
      <c r="L18" s="72">
        <f t="shared" si="5"/>
        <v>140500</v>
      </c>
      <c r="M18" s="72">
        <f t="shared" si="6"/>
        <v>173250</v>
      </c>
      <c r="N18" s="72">
        <f t="shared" ref="N18:N25" si="7">+H18</f>
        <v>206000</v>
      </c>
    </row>
    <row r="19" spans="2:14" x14ac:dyDescent="0.25">
      <c r="C19" s="10" t="str">
        <v>Interest Expense</v>
      </c>
      <c r="E19" s="72">
        <f>+(SUMIFS('Journal Entries'!$L:$L,'Journal Entries'!$M:$M,$C19,'Journal Entries'!$D:$D,"&lt;="&amp;E$7,'Journal Entries'!$D:$D,"&gt;"&amp;D$7))+D19</f>
        <v>0</v>
      </c>
      <c r="F19" s="72">
        <f>+(SUMIFS('Journal Entries'!$L:$L,'Journal Entries'!$M:$M,$C19,'Journal Entries'!$D:$D,"&lt;="&amp;F$7,'Journal Entries'!$D:$D,"&gt;"&amp;E$7))+E19</f>
        <v>0</v>
      </c>
      <c r="G19" s="72">
        <f>+(SUMIFS('Journal Entries'!$L:$L,'Journal Entries'!$M:$M,$C19,'Journal Entries'!$D:$D,"&lt;="&amp;G$7,'Journal Entries'!$D:$D,"&gt;"&amp;F$7))+F19</f>
        <v>0</v>
      </c>
      <c r="H19" s="72">
        <f>+(SUMIFS('Journal Entries'!$L:$L,'Journal Entries'!$M:$M,$C19,'Journal Entries'!$D:$D,"&lt;="&amp;H$7,'Journal Entries'!$D:$D,"&gt;"&amp;G$7))+G19</f>
        <v>0</v>
      </c>
      <c r="I19" s="73"/>
      <c r="J19" s="10" t="str">
        <f t="shared" si="1"/>
        <v>Interest Expense</v>
      </c>
      <c r="K19" s="72">
        <f t="shared" si="4"/>
        <v>0</v>
      </c>
      <c r="L19" s="72">
        <f t="shared" si="5"/>
        <v>0</v>
      </c>
      <c r="M19" s="72">
        <f t="shared" si="6"/>
        <v>0</v>
      </c>
      <c r="N19" s="72">
        <f t="shared" si="7"/>
        <v>0</v>
      </c>
    </row>
    <row r="20" spans="2:14" x14ac:dyDescent="0.25">
      <c r="C20" s="10" t="str">
        <v>Dividend Expense</v>
      </c>
      <c r="E20" s="72">
        <f>+(SUMIFS('Journal Entries'!$L:$L,'Journal Entries'!$M:$M,$C20,'Journal Entries'!$D:$D,"&lt;="&amp;E$7,'Journal Entries'!$D:$D,"&gt;"&amp;D$7))+D20</f>
        <v>0</v>
      </c>
      <c r="F20" s="72">
        <f>+(SUMIFS('Journal Entries'!$L:$L,'Journal Entries'!$M:$M,$C20,'Journal Entries'!$D:$D,"&lt;="&amp;F$7,'Journal Entries'!$D:$D,"&gt;"&amp;E$7))+E20</f>
        <v>0</v>
      </c>
      <c r="G20" s="72">
        <f>+(SUMIFS('Journal Entries'!$L:$L,'Journal Entries'!$M:$M,$C20,'Journal Entries'!$D:$D,"&lt;="&amp;G$7,'Journal Entries'!$D:$D,"&gt;"&amp;F$7))+F20</f>
        <v>0</v>
      </c>
      <c r="H20" s="72">
        <f>+(SUMIFS('Journal Entries'!$L:$L,'Journal Entries'!$M:$M,$C20,'Journal Entries'!$D:$D,"&lt;="&amp;H$7,'Journal Entries'!$D:$D,"&gt;"&amp;G$7))+G20</f>
        <v>0</v>
      </c>
      <c r="I20" s="73"/>
      <c r="J20" s="10" t="str">
        <f t="shared" si="1"/>
        <v>Dividend Expense</v>
      </c>
      <c r="K20" s="72">
        <f t="shared" si="4"/>
        <v>0</v>
      </c>
      <c r="L20" s="72">
        <f t="shared" si="5"/>
        <v>0</v>
      </c>
      <c r="M20" s="72">
        <f t="shared" si="6"/>
        <v>0</v>
      </c>
      <c r="N20" s="72">
        <f t="shared" si="7"/>
        <v>0</v>
      </c>
    </row>
    <row r="21" spans="2:14" x14ac:dyDescent="0.25">
      <c r="C21" s="10" t="str">
        <v>General and Admin Expense</v>
      </c>
      <c r="E21" s="72">
        <f>+(SUMIFS('Journal Entries'!$L:$L,'Journal Entries'!$M:$M,$C21,'Journal Entries'!$D:$D,"&lt;="&amp;E$7,'Journal Entries'!$D:$D,"&gt;"&amp;D$7))+D21</f>
        <v>0</v>
      </c>
      <c r="F21" s="72">
        <f>+(SUMIFS('Journal Entries'!$L:$L,'Journal Entries'!$M:$M,$C21,'Journal Entries'!$D:$D,"&lt;="&amp;F$7,'Journal Entries'!$D:$D,"&gt;"&amp;E$7))+E21</f>
        <v>0</v>
      </c>
      <c r="G21" s="72">
        <f>+(SUMIFS('Journal Entries'!$L:$L,'Journal Entries'!$M:$M,$C21,'Journal Entries'!$D:$D,"&lt;="&amp;G$7,'Journal Entries'!$D:$D,"&gt;"&amp;F$7))+F21</f>
        <v>0</v>
      </c>
      <c r="H21" s="72">
        <f>+(SUMIFS('Journal Entries'!$L:$L,'Journal Entries'!$M:$M,$C21,'Journal Entries'!$D:$D,"&lt;="&amp;H$7,'Journal Entries'!$D:$D,"&gt;"&amp;G$7))+G21</f>
        <v>0</v>
      </c>
      <c r="I21" s="73"/>
      <c r="J21" s="10" t="str">
        <f t="shared" si="1"/>
        <v>General and Admin Expense</v>
      </c>
      <c r="K21" s="72">
        <f t="shared" si="4"/>
        <v>0</v>
      </c>
      <c r="L21" s="72">
        <f t="shared" si="5"/>
        <v>0</v>
      </c>
      <c r="M21" s="72">
        <f t="shared" si="6"/>
        <v>0</v>
      </c>
      <c r="N21" s="72">
        <f t="shared" si="7"/>
        <v>0</v>
      </c>
    </row>
    <row r="22" spans="2:14" x14ac:dyDescent="0.25">
      <c r="C22" s="10" t="str">
        <v>Other expenses</v>
      </c>
      <c r="E22" s="72">
        <f>+(SUMIFS('Journal Entries'!$L:$L,'Journal Entries'!$M:$M,$C22,'Journal Entries'!$D:$D,"&lt;="&amp;E$7,'Journal Entries'!$D:$D,"&gt;"&amp;D$7))+D22</f>
        <v>0</v>
      </c>
      <c r="F22" s="72">
        <f>+(SUMIFS('Journal Entries'!$L:$L,'Journal Entries'!$M:$M,$C22,'Journal Entries'!$D:$D,"&lt;="&amp;F$7,'Journal Entries'!$D:$D,"&gt;"&amp;E$7))+E22</f>
        <v>0</v>
      </c>
      <c r="G22" s="72">
        <f>+(SUMIFS('Journal Entries'!$L:$L,'Journal Entries'!$M:$M,$C22,'Journal Entries'!$D:$D,"&lt;="&amp;G$7,'Journal Entries'!$D:$D,"&gt;"&amp;F$7))+F22</f>
        <v>0</v>
      </c>
      <c r="H22" s="72">
        <f>+(SUMIFS('Journal Entries'!$L:$L,'Journal Entries'!$M:$M,$C22,'Journal Entries'!$D:$D,"&lt;="&amp;H$7,'Journal Entries'!$D:$D,"&gt;"&amp;G$7))+G22</f>
        <v>0</v>
      </c>
      <c r="I22" s="73"/>
      <c r="J22" s="10" t="str">
        <f t="shared" si="1"/>
        <v>Other expenses</v>
      </c>
      <c r="K22" s="72">
        <f t="shared" si="4"/>
        <v>0</v>
      </c>
      <c r="L22" s="72">
        <f t="shared" si="5"/>
        <v>0</v>
      </c>
      <c r="M22" s="72">
        <f t="shared" si="6"/>
        <v>0</v>
      </c>
      <c r="N22" s="72">
        <f t="shared" si="7"/>
        <v>0</v>
      </c>
    </row>
    <row r="23" spans="2:14" x14ac:dyDescent="0.25">
      <c r="C23" s="10" t="str">
        <v>Organizational Costs</v>
      </c>
      <c r="E23" s="72">
        <f>+(SUMIFS('Journal Entries'!$L:$L,'Journal Entries'!$M:$M,$C23,'Journal Entries'!$D:$D,"&lt;="&amp;E$7,'Journal Entries'!$D:$D,"&gt;"&amp;D$7))+D23</f>
        <v>0</v>
      </c>
      <c r="F23" s="72">
        <f>+(SUMIFS('Journal Entries'!$L:$L,'Journal Entries'!$M:$M,$C23,'Journal Entries'!$D:$D,"&lt;="&amp;F$7,'Journal Entries'!$D:$D,"&gt;"&amp;E$7))+E23</f>
        <v>0</v>
      </c>
      <c r="G23" s="72">
        <f>+(SUMIFS('Journal Entries'!$L:$L,'Journal Entries'!$M:$M,$C23,'Journal Entries'!$D:$D,"&lt;="&amp;G$7,'Journal Entries'!$D:$D,"&gt;"&amp;F$7))+F23</f>
        <v>0</v>
      </c>
      <c r="H23" s="72">
        <f>+(SUMIFS('Journal Entries'!$L:$L,'Journal Entries'!$M:$M,$C23,'Journal Entries'!$D:$D,"&lt;="&amp;H$7,'Journal Entries'!$D:$D,"&gt;"&amp;G$7))+G23</f>
        <v>0</v>
      </c>
      <c r="I23" s="73"/>
      <c r="J23" s="10" t="str">
        <f t="shared" si="1"/>
        <v>Organizational Costs</v>
      </c>
      <c r="K23" s="72">
        <f t="shared" si="4"/>
        <v>0</v>
      </c>
      <c r="L23" s="72">
        <f t="shared" si="5"/>
        <v>0</v>
      </c>
      <c r="M23" s="72">
        <f t="shared" si="6"/>
        <v>0</v>
      </c>
      <c r="N23" s="72">
        <f t="shared" si="7"/>
        <v>0</v>
      </c>
    </row>
    <row r="24" spans="2:14" x14ac:dyDescent="0.25">
      <c r="C24" s="10" t="str">
        <v>Offering Expenses</v>
      </c>
      <c r="E24" s="72">
        <f>+(SUMIFS('Journal Entries'!$L:$L,'Journal Entries'!$M:$M,$C24,'Journal Entries'!$D:$D,"&lt;="&amp;E$7,'Journal Entries'!$D:$D,"&gt;"&amp;D$7))+D24</f>
        <v>0</v>
      </c>
      <c r="F24" s="72">
        <f>+(SUMIFS('Journal Entries'!$L:$L,'Journal Entries'!$M:$M,$C24,'Journal Entries'!$D:$D,"&lt;="&amp;F$7,'Journal Entries'!$D:$D,"&gt;"&amp;E$7))+E24</f>
        <v>0</v>
      </c>
      <c r="G24" s="72">
        <f>+(SUMIFS('Journal Entries'!$L:$L,'Journal Entries'!$M:$M,$C24,'Journal Entries'!$D:$D,"&lt;="&amp;G$7,'Journal Entries'!$D:$D,"&gt;"&amp;F$7))+F24</f>
        <v>0</v>
      </c>
      <c r="H24" s="72">
        <f>+(SUMIFS('Journal Entries'!$L:$L,'Journal Entries'!$M:$M,$C24,'Journal Entries'!$D:$D,"&lt;="&amp;H$7,'Journal Entries'!$D:$D,"&gt;"&amp;G$7))+G24</f>
        <v>0</v>
      </c>
      <c r="I24" s="73"/>
      <c r="J24" s="10" t="str">
        <f t="shared" si="1"/>
        <v>Offering Expenses</v>
      </c>
      <c r="K24" s="72">
        <f t="shared" si="4"/>
        <v>0</v>
      </c>
      <c r="L24" s="72">
        <f t="shared" si="5"/>
        <v>0</v>
      </c>
      <c r="M24" s="72">
        <f t="shared" si="6"/>
        <v>0</v>
      </c>
      <c r="N24" s="72">
        <f t="shared" si="7"/>
        <v>0</v>
      </c>
    </row>
    <row r="25" spans="2:14" x14ac:dyDescent="0.25">
      <c r="C25" s="10" t="str">
        <v>Amortization</v>
      </c>
      <c r="E25" s="72">
        <f>+(SUMIFS('Journal Entries'!$L:$L,'Journal Entries'!$M:$M,$C25,'Journal Entries'!$D:$D,"&lt;="&amp;E$7,'Journal Entries'!$D:$D,"&gt;"&amp;D$7))+D25</f>
        <v>0</v>
      </c>
      <c r="F25" s="72">
        <f>+(SUMIFS('Journal Entries'!$L:$L,'Journal Entries'!$M:$M,$C25,'Journal Entries'!$D:$D,"&lt;="&amp;F$7,'Journal Entries'!$D:$D,"&gt;"&amp;E$7))+E25</f>
        <v>0</v>
      </c>
      <c r="G25" s="72">
        <f>+(SUMIFS('Journal Entries'!$L:$L,'Journal Entries'!$M:$M,$C25,'Journal Entries'!$D:$D,"&lt;="&amp;G$7,'Journal Entries'!$D:$D,"&gt;"&amp;F$7))+F25</f>
        <v>0</v>
      </c>
      <c r="H25" s="72">
        <f>+(SUMIFS('Journal Entries'!$L:$L,'Journal Entries'!$M:$M,$C25,'Journal Entries'!$D:$D,"&lt;="&amp;H$7,'Journal Entries'!$D:$D,"&gt;"&amp;G$7))+G25</f>
        <v>0</v>
      </c>
      <c r="I25" s="73"/>
      <c r="J25" s="10" t="str">
        <f t="shared" si="1"/>
        <v>Amortization</v>
      </c>
      <c r="K25" s="72">
        <f t="shared" si="4"/>
        <v>0</v>
      </c>
      <c r="L25" s="72">
        <f t="shared" si="5"/>
        <v>0</v>
      </c>
      <c r="M25" s="72">
        <f t="shared" si="6"/>
        <v>0</v>
      </c>
      <c r="N25" s="72">
        <f t="shared" si="7"/>
        <v>0</v>
      </c>
    </row>
    <row r="26" spans="2:14" x14ac:dyDescent="0.25">
      <c r="C26" s="11" t="s">
        <v>54</v>
      </c>
      <c r="D26" s="316"/>
      <c r="E26" s="321">
        <f>SUM(E16:E25)</f>
        <v>182750</v>
      </c>
      <c r="F26" s="321">
        <f>SUM(F16:F25)</f>
        <v>290500</v>
      </c>
      <c r="G26" s="321">
        <f>SUM(G16:G25)</f>
        <v>398250</v>
      </c>
      <c r="H26" s="321">
        <f>SUM(H16:H25)</f>
        <v>506000</v>
      </c>
      <c r="I26" s="77"/>
      <c r="J26" s="11" t="str">
        <f t="shared" si="1"/>
        <v>Total expenses</v>
      </c>
      <c r="K26" s="78">
        <f>SUM(K16:K25)</f>
        <v>182750</v>
      </c>
      <c r="L26" s="78">
        <f>SUM(L16:L25)</f>
        <v>290500</v>
      </c>
      <c r="M26" s="78">
        <f>SUM(M16:M25)</f>
        <v>398250</v>
      </c>
      <c r="N26" s="78">
        <f>SUM(N16:N25)</f>
        <v>1344754.0351328349</v>
      </c>
    </row>
    <row r="27" spans="2:14" x14ac:dyDescent="0.25">
      <c r="F27" s="71"/>
      <c r="G27" s="71"/>
      <c r="H27" s="71"/>
      <c r="I27" s="73"/>
      <c r="K27" s="79"/>
      <c r="L27" s="79"/>
      <c r="M27" s="79"/>
      <c r="N27" s="79"/>
    </row>
    <row r="28" spans="2:14" x14ac:dyDescent="0.25">
      <c r="C28" s="11" t="s">
        <v>165</v>
      </c>
      <c r="D28" s="316"/>
      <c r="E28" s="83">
        <f>+E13-E26</f>
        <v>-146083.33333333334</v>
      </c>
      <c r="F28" s="83">
        <f>+F13-F26</f>
        <v>-139666.66666666666</v>
      </c>
      <c r="G28" s="83">
        <f>+G13-G26</f>
        <v>-19460.497678065673</v>
      </c>
      <c r="H28" s="83">
        <f>+H13-H26</f>
        <v>93770.175664174603</v>
      </c>
      <c r="I28" s="84"/>
      <c r="J28" s="11" t="str">
        <f t="shared" si="1"/>
        <v>Net investment income</v>
      </c>
      <c r="K28" s="85">
        <f>+K13-K26</f>
        <v>-146083.33333333334</v>
      </c>
      <c r="L28" s="85">
        <f>+L13-L26</f>
        <v>-139666.66666666666</v>
      </c>
      <c r="M28" s="85">
        <f>+M13-M26</f>
        <v>-19460.497678065673</v>
      </c>
      <c r="N28" s="85">
        <f>+N13-N26</f>
        <v>-744983.85946866032</v>
      </c>
    </row>
    <row r="29" spans="2:14" x14ac:dyDescent="0.25">
      <c r="F29" s="60"/>
      <c r="G29" s="60"/>
      <c r="H29" s="60"/>
      <c r="I29" s="60"/>
      <c r="K29" s="79"/>
      <c r="L29" s="80"/>
      <c r="M29" s="80"/>
      <c r="N29" s="80"/>
    </row>
    <row r="30" spans="2:14" x14ac:dyDescent="0.25">
      <c r="C30" s="11" t="s">
        <v>56</v>
      </c>
      <c r="D30" s="316"/>
      <c r="F30" s="60"/>
      <c r="G30" s="60"/>
      <c r="H30" s="60"/>
      <c r="I30" s="60"/>
      <c r="J30" s="11" t="str">
        <f t="shared" si="1"/>
        <v>Realized and unrealized gain (loss) from investments and foreign currency transactions</v>
      </c>
      <c r="K30" s="79"/>
      <c r="L30" s="80"/>
      <c r="M30" s="80"/>
      <c r="N30" s="80"/>
    </row>
    <row r="31" spans="2:14" x14ac:dyDescent="0.25">
      <c r="B31" s="10" t="s">
        <v>413</v>
      </c>
      <c r="C31" s="10" t="s">
        <v>451</v>
      </c>
      <c r="E31" s="86">
        <f>-(SUMIFS('Journal Entries'!$L:$L,'Journal Entries'!$K:$K,$B31,'Journal Entries'!$D:$D,"&lt;="&amp;E$7,'Journal Entries'!$D:$D,"&gt;"&amp;D$7))</f>
        <v>0</v>
      </c>
      <c r="F31" s="86">
        <f>-(SUMIFS('Journal Entries'!$L:$L,'Journal Entries'!$K:$K,$B31,'Journal Entries'!$D:$D,"&lt;="&amp;F$7,'Journal Entries'!$D:$D,"&gt;"&amp;E$7))</f>
        <v>0</v>
      </c>
      <c r="G31" s="86">
        <f>-(SUMIFS('Journal Entries'!$L:$L,'Journal Entries'!$K:$K,$B31,'Journal Entries'!$D:$D,"&lt;="&amp;G$7,'Journal Entries'!$D:$D,"&gt;"&amp;F$7))</f>
        <v>0</v>
      </c>
      <c r="H31" s="86">
        <f>-(SUMIFS('Journal Entries'!$L:$L,'Journal Entries'!$K:$K,$B31,'Journal Entries'!$D:$D,"&lt;="&amp;H$7,'Journal Entries'!$D:$D,"&gt;"&amp;G$7))</f>
        <v>4600000</v>
      </c>
      <c r="I31" s="73"/>
      <c r="J31" s="10" t="str">
        <f t="shared" si="1"/>
        <v>Net realized gain (loss) from investments</v>
      </c>
      <c r="K31" s="72">
        <f t="shared" ref="K31:N34" si="8">+E31</f>
        <v>0</v>
      </c>
      <c r="L31" s="72">
        <f t="shared" si="8"/>
        <v>0</v>
      </c>
      <c r="M31" s="72">
        <f t="shared" si="8"/>
        <v>0</v>
      </c>
      <c r="N31" s="72">
        <f t="shared" si="8"/>
        <v>4600000</v>
      </c>
    </row>
    <row r="32" spans="2:14" x14ac:dyDescent="0.25">
      <c r="B32" s="10" t="s">
        <v>414</v>
      </c>
      <c r="C32" s="10" t="s">
        <v>57</v>
      </c>
      <c r="E32" s="86">
        <f>-(SUMIFS('Journal Entries'!$L:$L,'Journal Entries'!$K:$K,$B32,'Journal Entries'!$D:$D,"&lt;="&amp;E$7,'Journal Entries'!$D:$D,"&gt;"&amp;D$7)+D32)</f>
        <v>0</v>
      </c>
      <c r="F32" s="86">
        <f>-(SUMIFS('Journal Entries'!$L:$L,'Journal Entries'!$K:$K,$B32,'Journal Entries'!$D:$D,"&lt;="&amp;F$7,'Journal Entries'!$D:$D,"&gt;"&amp;E$7)+E32)</f>
        <v>0</v>
      </c>
      <c r="G32" s="86">
        <f>-(SUMIFS('Journal Entries'!$L:$L,'Journal Entries'!$K:$K,$B32,'Journal Entries'!$D:$D,"&lt;="&amp;G$7,'Journal Entries'!$D:$D,"&gt;"&amp;F$7)+F32)</f>
        <v>0</v>
      </c>
      <c r="H32" s="86">
        <f>-(SUMIFS('Journal Entries'!$L:$L,'Journal Entries'!$K:$K,$B32,'Journal Entries'!$D:$D,"&lt;="&amp;H$7,'Journal Entries'!$D:$D,"&gt;"&amp;G$7)+G32)</f>
        <v>1000000</v>
      </c>
      <c r="I32" s="73"/>
      <c r="J32" s="10" t="str">
        <f t="shared" si="1"/>
        <v>Net change in unrealized gains and losses on investments</v>
      </c>
      <c r="K32" s="72">
        <f t="shared" si="8"/>
        <v>0</v>
      </c>
      <c r="L32" s="72">
        <f t="shared" si="8"/>
        <v>0</v>
      </c>
      <c r="M32" s="72">
        <f t="shared" si="8"/>
        <v>0</v>
      </c>
      <c r="N32" s="72">
        <f t="shared" si="8"/>
        <v>1000000</v>
      </c>
    </row>
    <row r="33" spans="3:14" x14ac:dyDescent="0.25">
      <c r="C33" s="10" t="s">
        <v>452</v>
      </c>
      <c r="E33" s="86">
        <f>+(SUMIFS('Journal Entries'!$L:$L,'Journal Entries'!$K:$K,$B33,'Journal Entries'!$D:$D,"&lt;="&amp;E$7,'Journal Entries'!$D:$D,"&gt;"&amp;D$7)+D33)</f>
        <v>0</v>
      </c>
      <c r="F33" s="86">
        <f>+(SUMIFS('Journal Entries'!$L:$L,'Journal Entries'!$K:$K,$B33,'Journal Entries'!$D:$D,"&lt;="&amp;F$7,'Journal Entries'!$D:$D,"&gt;"&amp;E$7)+E33)</f>
        <v>0</v>
      </c>
      <c r="G33" s="86">
        <f>+(SUMIFS('Journal Entries'!$L:$L,'Journal Entries'!$K:$K,$B33,'Journal Entries'!$D:$D,"&lt;="&amp;G$7,'Journal Entries'!$D:$D,"&gt;"&amp;F$7)+F33)</f>
        <v>0</v>
      </c>
      <c r="H33" s="86">
        <f>+(SUMIFS('Journal Entries'!$L:$L,'Journal Entries'!$K:$K,$B33,'Journal Entries'!$D:$D,"&lt;="&amp;H$7,'Journal Entries'!$D:$D,"&gt;"&amp;G$7)+G33)</f>
        <v>0</v>
      </c>
      <c r="I33" s="73"/>
      <c r="J33" s="10" t="str">
        <f t="shared" si="1"/>
        <v>Net realized gain (loss) from foreign currency transactions</v>
      </c>
      <c r="K33" s="72">
        <f t="shared" si="8"/>
        <v>0</v>
      </c>
      <c r="L33" s="72">
        <f t="shared" si="8"/>
        <v>0</v>
      </c>
      <c r="M33" s="72">
        <f t="shared" si="8"/>
        <v>0</v>
      </c>
      <c r="N33" s="72">
        <f t="shared" si="8"/>
        <v>0</v>
      </c>
    </row>
    <row r="34" spans="3:14" x14ac:dyDescent="0.25">
      <c r="C34" s="10" t="s">
        <v>453</v>
      </c>
      <c r="E34" s="86">
        <f>+(SUMIFS('Journal Entries'!$L:$L,'Journal Entries'!$K:$K,$B34,'Journal Entries'!$D:$D,"&lt;="&amp;E$7,'Journal Entries'!$D:$D,"&gt;"&amp;D$7)+D34)</f>
        <v>0</v>
      </c>
      <c r="F34" s="86">
        <f>+(SUMIFS('Journal Entries'!$L:$L,'Journal Entries'!$K:$K,$B34,'Journal Entries'!$D:$D,"&lt;="&amp;F$7,'Journal Entries'!$D:$D,"&gt;"&amp;E$7)+E34)</f>
        <v>0</v>
      </c>
      <c r="G34" s="86">
        <f>+(SUMIFS('Journal Entries'!$L:$L,'Journal Entries'!$K:$K,$B34,'Journal Entries'!$D:$D,"&lt;="&amp;G$7,'Journal Entries'!$D:$D,"&gt;"&amp;F$7)+F34)</f>
        <v>0</v>
      </c>
      <c r="H34" s="86">
        <f>+(SUMIFS('Journal Entries'!$L:$L,'Journal Entries'!$K:$K,$B34,'Journal Entries'!$D:$D,"&lt;="&amp;H$7,'Journal Entries'!$D:$D,"&gt;"&amp;G$7)+G34)</f>
        <v>0</v>
      </c>
      <c r="I34" s="75"/>
      <c r="J34" s="10" t="str">
        <f t="shared" si="1"/>
        <v xml:space="preserve">Net change in unrealized foreign currency gains and losses </v>
      </c>
      <c r="K34" s="76">
        <f t="shared" si="8"/>
        <v>0</v>
      </c>
      <c r="L34" s="76">
        <f t="shared" si="8"/>
        <v>0</v>
      </c>
      <c r="M34" s="76">
        <f t="shared" si="8"/>
        <v>0</v>
      </c>
      <c r="N34" s="76">
        <f t="shared" si="8"/>
        <v>0</v>
      </c>
    </row>
    <row r="35" spans="3:14" s="11" customFormat="1" x14ac:dyDescent="0.25">
      <c r="C35" s="11" t="s">
        <v>58</v>
      </c>
      <c r="D35" s="316"/>
      <c r="E35" s="321">
        <f>SUM(E31:E34)</f>
        <v>0</v>
      </c>
      <c r="F35" s="321">
        <f>SUM(F31:F34)</f>
        <v>0</v>
      </c>
      <c r="G35" s="321">
        <f>SUM(G31:G34)</f>
        <v>0</v>
      </c>
      <c r="H35" s="321">
        <f>SUM(H31:H34)</f>
        <v>5600000</v>
      </c>
      <c r="I35" s="77"/>
      <c r="J35" s="11" t="str">
        <f t="shared" si="1"/>
        <v>Net gain (loss) from investments and foreign currency transactions</v>
      </c>
      <c r="K35" s="85">
        <f>SUM(K31:K34)</f>
        <v>0</v>
      </c>
      <c r="L35" s="85">
        <f>SUM(L31:L34)</f>
        <v>0</v>
      </c>
      <c r="M35" s="85">
        <f>SUM(M31:M34)</f>
        <v>0</v>
      </c>
      <c r="N35" s="85">
        <f>SUM(N31:N34)</f>
        <v>5600000</v>
      </c>
    </row>
    <row r="36" spans="3:14" x14ac:dyDescent="0.25">
      <c r="F36" s="60"/>
      <c r="G36" s="60"/>
      <c r="H36" s="60"/>
      <c r="I36" s="60"/>
      <c r="K36" s="79"/>
      <c r="L36" s="80"/>
      <c r="M36" s="80"/>
      <c r="N36" s="80"/>
    </row>
    <row r="37" spans="3:14" x14ac:dyDescent="0.25">
      <c r="C37" s="11" t="s">
        <v>59</v>
      </c>
      <c r="D37" s="316"/>
      <c r="E37" s="83">
        <f>+E28+E35</f>
        <v>-146083.33333333334</v>
      </c>
      <c r="F37" s="83">
        <f t="shared" ref="F37:H37" si="9">+F28+F35</f>
        <v>-139666.66666666666</v>
      </c>
      <c r="G37" s="83">
        <f t="shared" si="9"/>
        <v>-19460.497678065673</v>
      </c>
      <c r="H37" s="83">
        <f t="shared" si="9"/>
        <v>5693770.1756641744</v>
      </c>
      <c r="I37" s="84"/>
      <c r="J37" s="87" t="str">
        <f>+C37</f>
        <v>Net income</v>
      </c>
      <c r="K37" s="85">
        <f>+K28+K35</f>
        <v>-146083.33333333334</v>
      </c>
      <c r="L37" s="85">
        <f>+L28+L35</f>
        <v>-139666.66666666666</v>
      </c>
      <c r="M37" s="85">
        <f>+M28+M35</f>
        <v>-19460.497678065673</v>
      </c>
      <c r="N37" s="85">
        <f>+N28+N35</f>
        <v>4855016.1405313397</v>
      </c>
    </row>
    <row r="38" spans="3:14" x14ac:dyDescent="0.25">
      <c r="F38" s="60"/>
      <c r="G38" s="60"/>
      <c r="H38" s="60"/>
      <c r="I38" s="60"/>
      <c r="K38" s="79"/>
      <c r="L38" s="80"/>
      <c r="M38" s="80"/>
      <c r="N38" s="80"/>
    </row>
    <row r="39" spans="3:14" x14ac:dyDescent="0.25">
      <c r="C39" s="11"/>
      <c r="D39" s="316"/>
      <c r="F39" s="71"/>
      <c r="G39" s="71"/>
      <c r="H39" s="71"/>
      <c r="I39" s="73"/>
      <c r="K39" s="79"/>
      <c r="L39" s="79"/>
      <c r="M39" s="79"/>
      <c r="N39" s="79"/>
    </row>
  </sheetData>
  <conditionalFormatting sqref="C9:D1048576 C1:D6">
    <cfRule type="duplicateValues" dxfId="3" priority="2"/>
  </conditionalFormatting>
  <conditionalFormatting sqref="J9:J35">
    <cfRule type="duplicateValues" dxfId="2" priority="1"/>
  </conditionalFormatting>
  <pageMargins left="0.7" right="0.7" top="0.75" bottom="0.75" header="0.3" footer="0.3"/>
  <pageSetup paperSize="9" scale="33"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06B0-90B9-4512-B4D6-F6A7C055E59B}">
  <sheetPr>
    <tabColor theme="7" tint="0.79998168889431442"/>
  </sheetPr>
  <dimension ref="B1:O25"/>
  <sheetViews>
    <sheetView showGridLines="0" view="pageBreakPreview" zoomScale="130" zoomScaleNormal="100" zoomScaleSheetLayoutView="130" workbookViewId="0">
      <selection activeCell="K15" sqref="K15"/>
    </sheetView>
  </sheetViews>
  <sheetFormatPr defaultColWidth="19.28515625" defaultRowHeight="15.75" x14ac:dyDescent="0.25"/>
  <cols>
    <col min="1" max="2" width="19.28515625" style="10"/>
    <col min="3" max="3" width="23.140625" style="10" customWidth="1"/>
    <col min="4" max="4" width="19.28515625" style="10"/>
    <col min="5" max="5" width="4.28515625" style="10" customWidth="1"/>
    <col min="6" max="6" width="19.28515625" style="10"/>
    <col min="7" max="7" width="4.140625" style="10" customWidth="1"/>
    <col min="8" max="8" width="19.28515625" style="10"/>
    <col min="9" max="9" width="5.42578125" style="10" customWidth="1"/>
    <col min="10" max="16384" width="19.28515625" style="10"/>
  </cols>
  <sheetData>
    <row r="1" spans="2:15" s="31" customFormat="1" ht="11.25" customHeight="1" x14ac:dyDescent="0.25">
      <c r="B1" s="505"/>
      <c r="L1" s="10"/>
      <c r="M1" s="10"/>
      <c r="N1" s="10"/>
      <c r="O1" s="10"/>
    </row>
    <row r="4" spans="2:15" x14ac:dyDescent="0.25">
      <c r="D4" s="13"/>
    </row>
    <row r="5" spans="2:15" x14ac:dyDescent="0.25">
      <c r="D5" s="11"/>
      <c r="E5" s="51" t="str">
        <f>+'FS Cover'!E4</f>
        <v>Good Practices Fund I, L.P.</v>
      </c>
      <c r="F5" s="11"/>
    </row>
    <row r="6" spans="2:15" x14ac:dyDescent="0.25">
      <c r="D6" s="11"/>
      <c r="E6" s="51" t="s">
        <v>718</v>
      </c>
      <c r="F6" s="11"/>
      <c r="L6" s="57" t="s">
        <v>159</v>
      </c>
      <c r="M6" s="58"/>
    </row>
    <row r="7" spans="2:15" x14ac:dyDescent="0.25">
      <c r="D7" s="11"/>
      <c r="E7" s="51" t="str">
        <f>"For the Year Ended "&amp;TEXT('FS Cover'!G6,"mmmm dd, yyyy")</f>
        <v>For the Year Ended December 31, 2024</v>
      </c>
      <c r="F7" s="11"/>
      <c r="L7" s="58"/>
      <c r="M7" s="58"/>
    </row>
    <row r="8" spans="2:15" x14ac:dyDescent="0.25">
      <c r="B8" s="11"/>
      <c r="C8" s="11"/>
      <c r="I8" s="11"/>
      <c r="J8" s="11"/>
      <c r="L8" s="59">
        <f>+'FS Cover'!G6</f>
        <v>45657</v>
      </c>
      <c r="M8" s="57"/>
      <c r="N8" s="11"/>
    </row>
    <row r="9" spans="2:15" x14ac:dyDescent="0.25">
      <c r="B9" s="11"/>
      <c r="C9" s="51" t="s">
        <v>45</v>
      </c>
      <c r="D9" s="434" t="s">
        <v>151</v>
      </c>
      <c r="E9" s="51"/>
      <c r="F9" s="434" t="s">
        <v>152</v>
      </c>
      <c r="G9" s="51"/>
      <c r="H9" s="434" t="s">
        <v>41</v>
      </c>
      <c r="I9" s="11"/>
      <c r="J9" s="11"/>
      <c r="L9" s="58"/>
      <c r="M9" s="57"/>
      <c r="N9" s="11"/>
    </row>
    <row r="10" spans="2:15" x14ac:dyDescent="0.25">
      <c r="B10" s="11"/>
      <c r="C10" s="11"/>
      <c r="D10" s="11"/>
      <c r="E10" s="11"/>
      <c r="F10" s="11"/>
      <c r="G10" s="11"/>
      <c r="H10" s="11"/>
      <c r="I10" s="11"/>
      <c r="J10" s="11"/>
      <c r="L10" s="58"/>
      <c r="M10" s="57"/>
      <c r="N10" s="11"/>
    </row>
    <row r="11" spans="2:15" x14ac:dyDescent="0.25">
      <c r="C11" s="10" t="s">
        <v>46</v>
      </c>
      <c r="D11" s="534">
        <f>+H11*$D$17</f>
        <v>150000</v>
      </c>
      <c r="E11" s="114"/>
      <c r="F11" s="534">
        <f>+H11*$F$17</f>
        <v>14850000</v>
      </c>
      <c r="G11" s="114"/>
      <c r="H11" s="115">
        <f>-SUMIFS('Journal Entries'!$L:$L,'Journal Entries'!$K:$K,L11)</f>
        <v>15000000</v>
      </c>
      <c r="L11" s="58" t="s">
        <v>94</v>
      </c>
      <c r="M11" s="58"/>
    </row>
    <row r="12" spans="2:15" x14ac:dyDescent="0.25">
      <c r="C12" s="10" t="s">
        <v>153</v>
      </c>
      <c r="D12" s="534">
        <f>+H12*$D$17</f>
        <v>-101138.33090072921</v>
      </c>
      <c r="E12" s="114"/>
      <c r="F12" s="534">
        <f>+H12*$F$17</f>
        <v>-10012694.759172192</v>
      </c>
      <c r="G12" s="114"/>
      <c r="H12" s="115">
        <f>-SUMIFS('Journal Entries'!$L:$L,'Journal Entries'!$K:$K,L12)</f>
        <v>-10113833.090072921</v>
      </c>
      <c r="L12" s="58" t="s">
        <v>95</v>
      </c>
      <c r="M12" s="58"/>
    </row>
    <row r="13" spans="2:15" x14ac:dyDescent="0.25">
      <c r="C13" s="10" t="s">
        <v>154</v>
      </c>
      <c r="D13" s="535">
        <f>+H13*$D$17</f>
        <v>48550.161405313396</v>
      </c>
      <c r="E13" s="114"/>
      <c r="F13" s="535">
        <f>+H13*$F$17</f>
        <v>4806465.9791260259</v>
      </c>
      <c r="G13" s="114"/>
      <c r="H13" s="535">
        <f>INDEX('Income Statement'!$J$7:$P$39,MATCH('Income Statement'!$C$37,'Income Statement'!$J$7:$J$39,0),MATCH($L$8,'Income Statement'!$J$7:$P$7,0))</f>
        <v>4855016.1405313397</v>
      </c>
    </row>
    <row r="14" spans="2:15" x14ac:dyDescent="0.25">
      <c r="K14" s="10" t="s">
        <v>157</v>
      </c>
      <c r="M14" s="10" t="s">
        <v>158</v>
      </c>
    </row>
    <row r="15" spans="2:15" ht="16.5" thickBot="1" x14ac:dyDescent="0.3">
      <c r="B15" s="11"/>
      <c r="C15" s="11" t="s">
        <v>155</v>
      </c>
      <c r="D15" s="436">
        <f>SUM(D11:D14)</f>
        <v>97411.830504584184</v>
      </c>
      <c r="E15" s="11"/>
      <c r="F15" s="436">
        <f>SUM(F11:F14)</f>
        <v>9643771.219953835</v>
      </c>
      <c r="G15" s="11"/>
      <c r="H15" s="436">
        <f>SUM(H11:H14)</f>
        <v>9741183.0504584201</v>
      </c>
      <c r="I15" s="11"/>
      <c r="J15" s="11"/>
      <c r="K15" s="507">
        <f>+'Balance Sheet'!N49</f>
        <v>9741183.0504584182</v>
      </c>
      <c r="L15" s="62">
        <f>+K15-H15</f>
        <v>0</v>
      </c>
      <c r="M15" s="62" t="str">
        <f>IF(L15=0,"","ERROR")</f>
        <v/>
      </c>
      <c r="N15" s="11"/>
    </row>
    <row r="16" spans="2:15" x14ac:dyDescent="0.25">
      <c r="M16" s="62">
        <f>+D15+F15-H15</f>
        <v>0</v>
      </c>
    </row>
    <row r="17" spans="2:8" x14ac:dyDescent="0.25">
      <c r="C17" s="10" t="s">
        <v>156</v>
      </c>
      <c r="D17" s="63">
        <f>+'Business Plan'!$D$29</f>
        <v>0.01</v>
      </c>
      <c r="E17" s="63"/>
      <c r="F17" s="63">
        <f>1-D17</f>
        <v>0.99</v>
      </c>
      <c r="G17" s="63"/>
      <c r="H17" s="63">
        <f>+F17+D17</f>
        <v>1</v>
      </c>
    </row>
    <row r="19" spans="2:8" x14ac:dyDescent="0.25">
      <c r="B19" s="10" t="s">
        <v>171</v>
      </c>
      <c r="D19" s="347">
        <v>1000</v>
      </c>
    </row>
    <row r="20" spans="2:8" x14ac:dyDescent="0.25">
      <c r="B20" s="10" t="s">
        <v>172</v>
      </c>
      <c r="D20" s="56">
        <f>+H15/D19</f>
        <v>9741.1830504584195</v>
      </c>
    </row>
    <row r="25" spans="2:8" x14ac:dyDescent="0.25">
      <c r="B25" s="506"/>
    </row>
  </sheetData>
  <pageMargins left="0.7" right="0.7" top="0.75" bottom="0.75" header="0.3" footer="0.3"/>
  <pageSetup paperSize="9" scale="57" orientation="portrait" r:id="rId1"/>
  <colBreaks count="1" manualBreakCount="1">
    <brk id="10"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41B88-0D50-49E7-A493-844FFCC55597}">
  <sheetPr>
    <tabColor theme="7" tint="0.79998168889431442"/>
  </sheetPr>
  <dimension ref="B1:T36"/>
  <sheetViews>
    <sheetView showGridLines="0" view="pageBreakPreview" zoomScale="85" zoomScaleNormal="70" zoomScaleSheetLayoutView="85" workbookViewId="0">
      <selection activeCell="H35" sqref="H35"/>
    </sheetView>
  </sheetViews>
  <sheetFormatPr defaultRowHeight="15.75" outlineLevelCol="2" x14ac:dyDescent="0.25"/>
  <cols>
    <col min="1" max="1" width="1.42578125" style="10" customWidth="1"/>
    <col min="2" max="2" width="32.28515625" style="10" customWidth="1" outlineLevel="1"/>
    <col min="3" max="3" width="49.7109375" style="10" bestFit="1" customWidth="1"/>
    <col min="4" max="4" width="13" style="10" hidden="1" customWidth="1" outlineLevel="2"/>
    <col min="5" max="5" width="14.28515625" style="10" customWidth="1" outlineLevel="1" collapsed="1"/>
    <col min="6" max="6" width="14.28515625" style="10" customWidth="1" outlineLevel="1"/>
    <col min="7" max="7" width="13.85546875" style="10" customWidth="1" outlineLevel="1"/>
    <col min="8" max="8" width="14.28515625" style="10" customWidth="1" outlineLevel="1" collapsed="1"/>
    <col min="9" max="9" width="9.140625" style="10"/>
    <col min="10" max="10" width="14.28515625" style="10" bestFit="1" customWidth="1"/>
    <col min="11" max="11" width="9.140625" style="10"/>
    <col min="12" max="12" width="15.42578125" style="10" bestFit="1" customWidth="1"/>
    <col min="13" max="15" width="14.28515625" style="10" bestFit="1" customWidth="1"/>
    <col min="16" max="16384" width="9.140625" style="10"/>
  </cols>
  <sheetData>
    <row r="1" spans="2:20" s="31" customFormat="1" ht="11.25" customHeight="1" x14ac:dyDescent="0.25">
      <c r="B1" s="36"/>
      <c r="Q1" s="10"/>
      <c r="R1" s="10"/>
      <c r="S1" s="10"/>
      <c r="T1" s="10"/>
    </row>
    <row r="2" spans="2:20" x14ac:dyDescent="0.25">
      <c r="C2" s="11" t="str">
        <f>+'Income Statement'!C3</f>
        <v>Good Practices Fund I, L.P.</v>
      </c>
    </row>
    <row r="3" spans="2:20" x14ac:dyDescent="0.25">
      <c r="B3" s="323"/>
      <c r="C3" s="11" t="s">
        <v>437</v>
      </c>
      <c r="D3" s="324"/>
      <c r="E3" s="324"/>
      <c r="F3" s="324"/>
      <c r="G3" s="324"/>
      <c r="H3" s="324"/>
      <c r="I3" s="323"/>
      <c r="J3" s="323"/>
      <c r="K3" s="323"/>
      <c r="L3" s="324"/>
      <c r="M3" s="324"/>
      <c r="N3" s="324"/>
      <c r="O3" s="324"/>
    </row>
    <row r="4" spans="2:20" x14ac:dyDescent="0.25">
      <c r="B4" s="323"/>
      <c r="C4" s="326" t="str">
        <f>+'Income Statement'!C5</f>
        <v>For the Year Ended December 31, 2024</v>
      </c>
      <c r="D4" s="324"/>
      <c r="E4" s="324"/>
      <c r="F4" s="324"/>
      <c r="G4" s="324"/>
      <c r="H4" s="324"/>
      <c r="I4" s="323"/>
      <c r="J4" s="323"/>
      <c r="K4" s="323"/>
      <c r="L4" s="324"/>
      <c r="M4" s="324"/>
      <c r="N4" s="324"/>
      <c r="O4" s="324"/>
    </row>
    <row r="5" spans="2:20" x14ac:dyDescent="0.25">
      <c r="B5" s="323"/>
      <c r="C5" s="323"/>
      <c r="D5" s="324"/>
      <c r="E5" s="324"/>
      <c r="F5" s="324"/>
      <c r="G5" s="324"/>
      <c r="H5" s="324"/>
      <c r="I5" s="323"/>
      <c r="J5" s="323"/>
      <c r="K5" s="323"/>
      <c r="L5" s="324"/>
      <c r="M5" s="324"/>
      <c r="N5" s="324"/>
      <c r="O5" s="324"/>
    </row>
    <row r="6" spans="2:20" x14ac:dyDescent="0.25">
      <c r="B6" s="323"/>
      <c r="C6" s="323"/>
      <c r="D6" s="324"/>
      <c r="E6" s="324"/>
      <c r="F6" s="324"/>
      <c r="G6" s="324"/>
      <c r="H6" s="324"/>
      <c r="I6" s="323"/>
      <c r="J6" s="323" t="s">
        <v>438</v>
      </c>
      <c r="K6" s="323"/>
      <c r="L6" s="324" t="s">
        <v>439</v>
      </c>
      <c r="M6" s="324"/>
      <c r="N6" s="324"/>
      <c r="O6" s="324"/>
    </row>
    <row r="7" spans="2:20" x14ac:dyDescent="0.25">
      <c r="B7" s="326" t="s">
        <v>440</v>
      </c>
      <c r="C7" s="11"/>
      <c r="D7" s="327">
        <f>+'Balance Sheet'!D7</f>
        <v>45266</v>
      </c>
      <c r="E7" s="327">
        <f>+'Balance Sheet'!E7</f>
        <v>45382</v>
      </c>
      <c r="F7" s="327">
        <f>+'Balance Sheet'!F7</f>
        <v>45473</v>
      </c>
      <c r="G7" s="327">
        <f>+'Balance Sheet'!G7</f>
        <v>45565</v>
      </c>
      <c r="H7" s="327">
        <f>+'Balance Sheet'!H7</f>
        <v>45657</v>
      </c>
      <c r="I7" s="326"/>
      <c r="J7" s="328">
        <f>+H7</f>
        <v>45657</v>
      </c>
      <c r="K7" s="328"/>
      <c r="L7" s="327">
        <f>+E7</f>
        <v>45382</v>
      </c>
      <c r="M7" s="327">
        <f t="shared" ref="M7:O7" si="0">+F7</f>
        <v>45473</v>
      </c>
      <c r="N7" s="327">
        <f t="shared" si="0"/>
        <v>45565</v>
      </c>
      <c r="O7" s="327">
        <f t="shared" si="0"/>
        <v>45657</v>
      </c>
    </row>
    <row r="8" spans="2:20" x14ac:dyDescent="0.25">
      <c r="B8" s="326"/>
      <c r="C8" s="11" t="s">
        <v>441</v>
      </c>
      <c r="D8" s="329"/>
      <c r="E8" s="329"/>
      <c r="F8" s="329"/>
      <c r="G8" s="329"/>
      <c r="H8" s="329"/>
      <c r="I8" s="326"/>
      <c r="J8" s="326"/>
      <c r="K8" s="326"/>
      <c r="L8" s="329"/>
      <c r="M8" s="329"/>
      <c r="N8" s="329"/>
      <c r="O8" s="329"/>
    </row>
    <row r="9" spans="2:20" x14ac:dyDescent="0.25">
      <c r="B9" s="323"/>
      <c r="C9" s="10" t="s">
        <v>454</v>
      </c>
      <c r="D9" s="324"/>
      <c r="E9" s="536">
        <f>+L9-K9</f>
        <v>-146083.33333333334</v>
      </c>
      <c r="F9" s="536">
        <f t="shared" ref="F9:H9" si="1">+M9-L9</f>
        <v>6416.6666666666861</v>
      </c>
      <c r="G9" s="536">
        <f t="shared" si="1"/>
        <v>120206.16898860098</v>
      </c>
      <c r="H9" s="536">
        <f t="shared" si="1"/>
        <v>4874476.6382094054</v>
      </c>
      <c r="I9" s="323"/>
      <c r="J9" s="538">
        <f>SUM(E9:H9)</f>
        <v>4855016.1405313397</v>
      </c>
      <c r="K9" s="330"/>
      <c r="L9" s="331">
        <f>+'Income Statement'!K37</f>
        <v>-146083.33333333334</v>
      </c>
      <c r="M9" s="331">
        <f>+'Income Statement'!L37</f>
        <v>-139666.66666666666</v>
      </c>
      <c r="N9" s="331">
        <f>+'Income Statement'!M37</f>
        <v>-19460.497678065673</v>
      </c>
      <c r="O9" s="331">
        <f>+'Income Statement'!N37</f>
        <v>4855016.1405313397</v>
      </c>
    </row>
    <row r="10" spans="2:20" x14ac:dyDescent="0.25">
      <c r="B10" s="326"/>
      <c r="C10" s="10" t="s">
        <v>455</v>
      </c>
      <c r="D10" s="329"/>
      <c r="E10" s="537"/>
      <c r="F10" s="537"/>
      <c r="G10" s="537"/>
      <c r="H10" s="537"/>
      <c r="I10" s="323"/>
      <c r="J10" s="538">
        <f t="shared" ref="J10:J34" si="2">SUM(E10:H10)</f>
        <v>0</v>
      </c>
      <c r="K10" s="323"/>
      <c r="L10" s="324"/>
      <c r="M10" s="324"/>
      <c r="N10" s="324"/>
      <c r="O10" s="324"/>
    </row>
    <row r="11" spans="2:20" x14ac:dyDescent="0.25">
      <c r="B11" s="323"/>
      <c r="C11" s="10" t="s">
        <v>36</v>
      </c>
      <c r="D11" s="324"/>
      <c r="E11" s="536">
        <f>+L11-K11</f>
        <v>0</v>
      </c>
      <c r="F11" s="536">
        <f t="shared" ref="F11:H11" si="3">+M11-L11</f>
        <v>0</v>
      </c>
      <c r="G11" s="536">
        <f t="shared" si="3"/>
        <v>0</v>
      </c>
      <c r="H11" s="536">
        <f t="shared" si="3"/>
        <v>-4600000</v>
      </c>
      <c r="I11" s="326"/>
      <c r="J11" s="538">
        <f t="shared" si="2"/>
        <v>-4600000</v>
      </c>
      <c r="K11" s="332"/>
      <c r="L11" s="331">
        <f>+-'Income Statement'!E31</f>
        <v>0</v>
      </c>
      <c r="M11" s="331">
        <f>+-'Income Statement'!F31</f>
        <v>0</v>
      </c>
      <c r="N11" s="331">
        <f>+-'Income Statement'!G31</f>
        <v>0</v>
      </c>
      <c r="O11" s="331">
        <f>+-'Income Statement'!H31</f>
        <v>-4600000</v>
      </c>
    </row>
    <row r="12" spans="2:20" x14ac:dyDescent="0.25">
      <c r="B12" s="323"/>
      <c r="C12" s="10" t="s">
        <v>456</v>
      </c>
      <c r="D12" s="324"/>
      <c r="E12" s="536"/>
      <c r="F12" s="536"/>
      <c r="G12" s="536"/>
      <c r="H12" s="536"/>
      <c r="I12" s="326"/>
      <c r="J12" s="538"/>
      <c r="K12" s="332"/>
      <c r="L12" s="333"/>
      <c r="M12" s="333"/>
      <c r="N12" s="333"/>
      <c r="O12" s="333"/>
    </row>
    <row r="13" spans="2:20" x14ac:dyDescent="0.25">
      <c r="B13" s="323" t="s">
        <v>473</v>
      </c>
      <c r="C13" s="10" t="s">
        <v>449</v>
      </c>
      <c r="D13" s="324"/>
      <c r="E13" s="536">
        <f t="shared" ref="E13:H16" si="4">+L13-K13</f>
        <v>0</v>
      </c>
      <c r="F13" s="536">
        <f t="shared" si="4"/>
        <v>0</v>
      </c>
      <c r="G13" s="536">
        <f t="shared" si="4"/>
        <v>0</v>
      </c>
      <c r="H13" s="536">
        <f t="shared" si="4"/>
        <v>0</v>
      </c>
      <c r="I13" s="323"/>
      <c r="J13" s="538">
        <f t="shared" si="2"/>
        <v>0</v>
      </c>
      <c r="K13" s="330"/>
      <c r="L13" s="331">
        <f>INDEX('Balance Sheet'!K:K,MATCH($B13,'Balance Sheet'!$C:$C,0))</f>
        <v>0</v>
      </c>
      <c r="M13" s="331">
        <f>INDEX('Balance Sheet'!L:L,MATCH($B13,'Balance Sheet'!$C:$C,0))</f>
        <v>0</v>
      </c>
      <c r="N13" s="331">
        <f>INDEX('Balance Sheet'!M:M,MATCH($B13,'Balance Sheet'!$C:$C,0))</f>
        <v>0</v>
      </c>
      <c r="O13" s="331">
        <f>INDEX('Balance Sheet'!N:N,MATCH($B13,'Balance Sheet'!$C:$C,0))</f>
        <v>0</v>
      </c>
    </row>
    <row r="14" spans="2:20" x14ac:dyDescent="0.25">
      <c r="B14" s="323" t="s">
        <v>427</v>
      </c>
      <c r="C14" s="10" t="s">
        <v>448</v>
      </c>
      <c r="D14" s="324"/>
      <c r="E14" s="536">
        <f t="shared" si="4"/>
        <v>0</v>
      </c>
      <c r="F14" s="536">
        <f t="shared" si="4"/>
        <v>0</v>
      </c>
      <c r="G14" s="536">
        <f t="shared" si="4"/>
        <v>0</v>
      </c>
      <c r="H14" s="536">
        <f t="shared" si="4"/>
        <v>60000</v>
      </c>
      <c r="I14" s="323"/>
      <c r="J14" s="538">
        <f t="shared" si="2"/>
        <v>60000</v>
      </c>
      <c r="K14" s="330"/>
      <c r="L14" s="331">
        <f>INDEX('Balance Sheet'!K:K,MATCH($B14,'Balance Sheet'!$C:$C,0))</f>
        <v>0</v>
      </c>
      <c r="M14" s="331">
        <f>INDEX('Balance Sheet'!L:L,MATCH($B14,'Balance Sheet'!$C:$C,0))</f>
        <v>0</v>
      </c>
      <c r="N14" s="331">
        <f>INDEX('Balance Sheet'!M:M,MATCH($B14,'Balance Sheet'!$C:$C,0))</f>
        <v>0</v>
      </c>
      <c r="O14" s="331">
        <f>INDEX('Balance Sheet'!N:N,MATCH($B14,'Balance Sheet'!$C:$C,0))</f>
        <v>60000</v>
      </c>
    </row>
    <row r="15" spans="2:20" x14ac:dyDescent="0.25">
      <c r="B15" s="323" t="s">
        <v>17</v>
      </c>
      <c r="C15" s="10" t="s">
        <v>739</v>
      </c>
      <c r="D15" s="324"/>
      <c r="E15" s="536">
        <f t="shared" ref="E15" si="5">+L15-K15</f>
        <v>0</v>
      </c>
      <c r="F15" s="536">
        <f t="shared" ref="F15" si="6">+M15-L15</f>
        <v>0</v>
      </c>
      <c r="G15" s="536">
        <f t="shared" ref="G15" si="7">+N15-M15</f>
        <v>0</v>
      </c>
      <c r="H15" s="536">
        <f t="shared" ref="H15" si="8">+O15-N15</f>
        <v>838754.03513283492</v>
      </c>
      <c r="I15" s="323"/>
      <c r="J15" s="538">
        <f t="shared" ref="J15" si="9">SUM(E15:H15)</f>
        <v>838754.03513283492</v>
      </c>
      <c r="K15" s="330"/>
      <c r="L15" s="331">
        <f>INDEX('Balance Sheet'!K:K,MATCH($B15,'Balance Sheet'!$C:$C,0))</f>
        <v>0</v>
      </c>
      <c r="M15" s="331">
        <f>INDEX('Balance Sheet'!L:L,MATCH($B15,'Balance Sheet'!$C:$C,0))</f>
        <v>0</v>
      </c>
      <c r="N15" s="331">
        <f>INDEX('Balance Sheet'!M:M,MATCH($B15,'Balance Sheet'!$C:$C,0))</f>
        <v>0</v>
      </c>
      <c r="O15" s="331">
        <f>INDEX('Balance Sheet'!N:N,MATCH($B15,'Balance Sheet'!$C:$C,0))</f>
        <v>838754.03513283492</v>
      </c>
    </row>
    <row r="16" spans="2:20" x14ac:dyDescent="0.25">
      <c r="B16" s="323" t="s">
        <v>27</v>
      </c>
      <c r="C16" s="10" t="s">
        <v>447</v>
      </c>
      <c r="D16" s="324"/>
      <c r="E16" s="536">
        <f t="shared" si="4"/>
        <v>15000</v>
      </c>
      <c r="F16" s="536">
        <f t="shared" si="4"/>
        <v>15000</v>
      </c>
      <c r="G16" s="536">
        <f t="shared" si="4"/>
        <v>15000</v>
      </c>
      <c r="H16" s="536">
        <f t="shared" si="4"/>
        <v>-45000</v>
      </c>
      <c r="I16" s="323"/>
      <c r="J16" s="538">
        <f t="shared" si="2"/>
        <v>0</v>
      </c>
      <c r="K16" s="330"/>
      <c r="L16" s="331">
        <f>INDEX('Balance Sheet'!E:E,MATCH($B16,'Balance Sheet'!$C:$C,0))</f>
        <v>15000</v>
      </c>
      <c r="M16" s="331">
        <f>INDEX('Balance Sheet'!F:F,MATCH($B16,'Balance Sheet'!$C:$C,0))</f>
        <v>30000</v>
      </c>
      <c r="N16" s="331">
        <f>INDEX('Balance Sheet'!G:G,MATCH($B16,'Balance Sheet'!$C:$C,0))</f>
        <v>45000</v>
      </c>
      <c r="O16" s="331">
        <f>INDEX('Balance Sheet'!H:H,MATCH($B16,'Balance Sheet'!$C:$C,0))</f>
        <v>0</v>
      </c>
    </row>
    <row r="17" spans="2:15" s="11" customFormat="1" x14ac:dyDescent="0.25">
      <c r="B17" s="326"/>
      <c r="C17" s="11" t="s">
        <v>442</v>
      </c>
      <c r="D17" s="329"/>
      <c r="E17" s="539">
        <f>SUM(E9:E16)</f>
        <v>-131083.33333333334</v>
      </c>
      <c r="F17" s="539">
        <f>SUM(F9:F16)</f>
        <v>21416.666666666686</v>
      </c>
      <c r="G17" s="539">
        <f>SUM(G9:G16)</f>
        <v>135206.16898860098</v>
      </c>
      <c r="H17" s="539">
        <f>SUM(H9:H16)</f>
        <v>1128230.6733422403</v>
      </c>
      <c r="I17" s="326"/>
      <c r="J17" s="540">
        <f>SUM(J9:J16)</f>
        <v>1153770.1756641746</v>
      </c>
      <c r="K17" s="326"/>
      <c r="L17" s="329"/>
      <c r="M17" s="329"/>
      <c r="N17" s="329"/>
      <c r="O17" s="329"/>
    </row>
    <row r="18" spans="2:15" x14ac:dyDescent="0.25">
      <c r="B18" s="323"/>
      <c r="D18" s="324"/>
      <c r="E18" s="324"/>
      <c r="F18" s="324"/>
      <c r="G18" s="324"/>
      <c r="H18" s="324"/>
      <c r="I18" s="326"/>
      <c r="J18" s="330">
        <f t="shared" si="2"/>
        <v>0</v>
      </c>
      <c r="K18" s="326"/>
      <c r="L18" s="324"/>
      <c r="M18" s="324"/>
      <c r="N18" s="324"/>
      <c r="O18" s="324"/>
    </row>
    <row r="19" spans="2:15" x14ac:dyDescent="0.25">
      <c r="B19" s="326"/>
      <c r="C19" s="11" t="s">
        <v>443</v>
      </c>
      <c r="D19" s="324"/>
      <c r="E19" s="324"/>
      <c r="F19" s="324"/>
      <c r="G19" s="324"/>
      <c r="H19" s="324"/>
      <c r="I19" s="323"/>
      <c r="J19" s="330">
        <f t="shared" si="2"/>
        <v>0</v>
      </c>
      <c r="K19" s="323"/>
      <c r="L19" s="324"/>
      <c r="M19" s="324"/>
      <c r="N19" s="324"/>
      <c r="O19" s="324"/>
    </row>
    <row r="20" spans="2:15" x14ac:dyDescent="0.25">
      <c r="B20" s="323" t="s">
        <v>118</v>
      </c>
      <c r="C20" s="10" t="s">
        <v>457</v>
      </c>
      <c r="D20" s="324"/>
      <c r="E20" s="536">
        <f t="shared" ref="E20:H20" si="10">+L20-K20</f>
        <v>-5400000</v>
      </c>
      <c r="F20" s="536">
        <f t="shared" si="10"/>
        <v>-4000000</v>
      </c>
      <c r="G20" s="536">
        <f t="shared" si="10"/>
        <v>0</v>
      </c>
      <c r="H20" s="536">
        <f t="shared" si="10"/>
        <v>3600000</v>
      </c>
      <c r="I20" s="326"/>
      <c r="J20" s="538">
        <f t="shared" si="2"/>
        <v>-5800000</v>
      </c>
      <c r="K20" s="326"/>
      <c r="L20" s="331">
        <f>-INDEX('Balance Sheet'!E:E,MATCH($B20,'Balance Sheet'!$C:$C,0))</f>
        <v>-5400000</v>
      </c>
      <c r="M20" s="331">
        <f>-INDEX('Balance Sheet'!F:F,MATCH($B20,'Balance Sheet'!$C:$C,0))</f>
        <v>-9400000</v>
      </c>
      <c r="N20" s="331">
        <f>-INDEX('Balance Sheet'!G:G,MATCH($B20,'Balance Sheet'!$C:$C,0))</f>
        <v>-9400000</v>
      </c>
      <c r="O20" s="331">
        <f>-INDEX('Balance Sheet'!H:H,MATCH($B20,'Balance Sheet'!$C:$C,0))</f>
        <v>-5800000</v>
      </c>
    </row>
    <row r="21" spans="2:15" x14ac:dyDescent="0.25">
      <c r="B21" s="323"/>
      <c r="C21" s="10" t="s">
        <v>458</v>
      </c>
      <c r="D21" s="324"/>
      <c r="E21" s="536">
        <f>-E11</f>
        <v>0</v>
      </c>
      <c r="F21" s="536">
        <f>-F11</f>
        <v>0</v>
      </c>
      <c r="G21" s="536">
        <f>-G11</f>
        <v>0</v>
      </c>
      <c r="H21" s="536">
        <f>-H11</f>
        <v>4600000</v>
      </c>
      <c r="I21" s="326"/>
      <c r="J21" s="538">
        <f t="shared" si="2"/>
        <v>4600000</v>
      </c>
      <c r="K21" s="326"/>
      <c r="L21" s="331"/>
      <c r="M21" s="331"/>
      <c r="N21" s="331"/>
      <c r="O21" s="331"/>
    </row>
    <row r="22" spans="2:15" x14ac:dyDescent="0.25">
      <c r="B22" s="323" t="s">
        <v>13</v>
      </c>
      <c r="C22" s="10" t="s">
        <v>459</v>
      </c>
      <c r="D22" s="324"/>
      <c r="E22" s="536">
        <f t="shared" ref="E22:H22" si="11">+L22-K22</f>
        <v>0</v>
      </c>
      <c r="F22" s="536">
        <f t="shared" si="11"/>
        <v>-4916790.8121513957</v>
      </c>
      <c r="G22" s="536">
        <f t="shared" si="11"/>
        <v>254171.39455721248</v>
      </c>
      <c r="H22" s="536">
        <f t="shared" si="11"/>
        <v>3014979.9802764938</v>
      </c>
      <c r="I22" s="323"/>
      <c r="J22" s="538">
        <f t="shared" si="2"/>
        <v>-1647639.4373176894</v>
      </c>
      <c r="K22" s="323"/>
      <c r="L22" s="331">
        <f>-INDEX('Balance Sheet'!E:E,MATCH($B22,'Balance Sheet'!$C:$C,0))</f>
        <v>0</v>
      </c>
      <c r="M22" s="331">
        <f>-INDEX('Balance Sheet'!F:F,MATCH($B22,'Balance Sheet'!$C:$C,0))</f>
        <v>-4916790.8121513957</v>
      </c>
      <c r="N22" s="331">
        <f>-INDEX('Balance Sheet'!G:G,MATCH($B22,'Balance Sheet'!$C:$C,0))</f>
        <v>-4662619.4175941832</v>
      </c>
      <c r="O22" s="331">
        <f>-INDEX('Balance Sheet'!H:H,MATCH($B22,'Balance Sheet'!$C:$C,0))</f>
        <v>-1647639.4373176894</v>
      </c>
    </row>
    <row r="23" spans="2:15" s="11" customFormat="1" x14ac:dyDescent="0.25">
      <c r="B23" s="326"/>
      <c r="C23" s="11" t="s">
        <v>460</v>
      </c>
      <c r="D23" s="329"/>
      <c r="E23" s="539">
        <f>SUM(E20:E22)</f>
        <v>-5400000</v>
      </c>
      <c r="F23" s="539">
        <f>SUM(F20:F22)</f>
        <v>-8916790.8121513948</v>
      </c>
      <c r="G23" s="539">
        <f>SUM(G20:G22)</f>
        <v>254171.39455721248</v>
      </c>
      <c r="H23" s="539">
        <f>SUM(H20:H22)</f>
        <v>11214979.980276493</v>
      </c>
      <c r="I23" s="326"/>
      <c r="J23" s="540">
        <f>SUM(J18:J22)</f>
        <v>-2847639.4373176894</v>
      </c>
      <c r="K23" s="326"/>
      <c r="L23" s="329"/>
      <c r="M23" s="329"/>
      <c r="N23" s="329"/>
      <c r="O23" s="329"/>
    </row>
    <row r="24" spans="2:15" x14ac:dyDescent="0.25">
      <c r="B24" s="323"/>
      <c r="D24" s="324"/>
      <c r="E24" s="324"/>
      <c r="F24" s="324"/>
      <c r="G24" s="324"/>
      <c r="H24" s="324"/>
      <c r="I24" s="326"/>
      <c r="J24" s="330">
        <f t="shared" si="2"/>
        <v>0</v>
      </c>
      <c r="K24" s="326"/>
      <c r="L24" s="324"/>
      <c r="M24" s="324"/>
      <c r="N24" s="324"/>
      <c r="O24" s="324"/>
    </row>
    <row r="25" spans="2:15" x14ac:dyDescent="0.25">
      <c r="B25" s="326"/>
      <c r="C25" s="11" t="s">
        <v>444</v>
      </c>
      <c r="D25" s="324"/>
      <c r="E25" s="324"/>
      <c r="F25" s="324"/>
      <c r="G25" s="324"/>
      <c r="H25" s="324"/>
      <c r="I25" s="323"/>
      <c r="J25" s="330">
        <f t="shared" si="2"/>
        <v>0</v>
      </c>
      <c r="K25" s="323"/>
      <c r="L25" s="324"/>
      <c r="M25" s="324"/>
      <c r="N25" s="324"/>
      <c r="O25" s="324"/>
    </row>
    <row r="26" spans="2:15" x14ac:dyDescent="0.25">
      <c r="B26" s="323" t="s">
        <v>46</v>
      </c>
      <c r="C26" s="323" t="s">
        <v>163</v>
      </c>
      <c r="D26" s="324"/>
      <c r="E26" s="536">
        <f t="shared" ref="E26:H28" si="12">+L26-K26</f>
        <v>5600000</v>
      </c>
      <c r="F26" s="536">
        <f t="shared" si="12"/>
        <v>9400000</v>
      </c>
      <c r="G26" s="536">
        <f t="shared" si="12"/>
        <v>0</v>
      </c>
      <c r="H26" s="536">
        <f t="shared" si="12"/>
        <v>0</v>
      </c>
      <c r="I26" s="323"/>
      <c r="J26" s="538">
        <f t="shared" si="2"/>
        <v>15000000</v>
      </c>
      <c r="K26" s="323"/>
      <c r="L26" s="331">
        <f>INDEX('Balance Sheet'!E:E,MATCH($B26,'Balance Sheet'!$C:$C,0))</f>
        <v>5600000</v>
      </c>
      <c r="M26" s="331">
        <f>INDEX('Balance Sheet'!F:F,MATCH($B26,'Balance Sheet'!$C:$C,0))</f>
        <v>15000000</v>
      </c>
      <c r="N26" s="331">
        <f>INDEX('Balance Sheet'!G:G,MATCH($B26,'Balance Sheet'!$C:$C,0))</f>
        <v>15000000</v>
      </c>
      <c r="O26" s="331">
        <f>INDEX('Balance Sheet'!H:H,MATCH($B26,'Balance Sheet'!$C:$C,0))</f>
        <v>15000000</v>
      </c>
    </row>
    <row r="27" spans="2:15" x14ac:dyDescent="0.25">
      <c r="B27" s="323" t="s">
        <v>42</v>
      </c>
      <c r="C27" s="323" t="s">
        <v>450</v>
      </c>
      <c r="D27" s="324"/>
      <c r="E27" s="536">
        <f t="shared" si="12"/>
        <v>0</v>
      </c>
      <c r="F27" s="536">
        <f t="shared" si="12"/>
        <v>0</v>
      </c>
      <c r="G27" s="536">
        <f t="shared" si="12"/>
        <v>0</v>
      </c>
      <c r="H27" s="536">
        <f t="shared" si="12"/>
        <v>0</v>
      </c>
      <c r="I27" s="323"/>
      <c r="J27" s="538">
        <f t="shared" si="2"/>
        <v>0</v>
      </c>
      <c r="K27" s="323"/>
      <c r="L27" s="331">
        <f>-INDEX('Balance Sheet'!E:E,MATCH($B27,'Balance Sheet'!$C:$C,0))</f>
        <v>0</v>
      </c>
      <c r="M27" s="331">
        <f>-INDEX('Balance Sheet'!F:F,MATCH($B27,'Balance Sheet'!$C:$C,0))</f>
        <v>0</v>
      </c>
      <c r="N27" s="331">
        <f>-INDEX('Balance Sheet'!G:G,MATCH($B27,'Balance Sheet'!$C:$C,0))</f>
        <v>0</v>
      </c>
      <c r="O27" s="331">
        <f>-INDEX('Balance Sheet'!H:H,MATCH($B27,'Balance Sheet'!$C:$C,0))</f>
        <v>0</v>
      </c>
    </row>
    <row r="28" spans="2:15" x14ac:dyDescent="0.25">
      <c r="B28" s="323" t="s">
        <v>47</v>
      </c>
      <c r="C28" s="323" t="s">
        <v>164</v>
      </c>
      <c r="D28" s="324"/>
      <c r="E28" s="536">
        <f t="shared" si="12"/>
        <v>0</v>
      </c>
      <c r="F28" s="536">
        <f t="shared" si="12"/>
        <v>0</v>
      </c>
      <c r="G28" s="536">
        <f t="shared" si="12"/>
        <v>0</v>
      </c>
      <c r="H28" s="536">
        <f t="shared" si="12"/>
        <v>-10113833.090072921</v>
      </c>
      <c r="I28" s="323"/>
      <c r="J28" s="538">
        <f t="shared" si="2"/>
        <v>-10113833.090072921</v>
      </c>
      <c r="K28" s="326"/>
      <c r="L28" s="331">
        <f>INDEX('Balance Sheet'!E:E,MATCH($B28,'Balance Sheet'!$C:$C,0))</f>
        <v>0</v>
      </c>
      <c r="M28" s="331">
        <f>INDEX('Balance Sheet'!F:F,MATCH($B28,'Balance Sheet'!$C:$C,0))</f>
        <v>0</v>
      </c>
      <c r="N28" s="331">
        <f>INDEX('Balance Sheet'!G:G,MATCH($B28,'Balance Sheet'!$C:$C,0))</f>
        <v>0</v>
      </c>
      <c r="O28" s="331">
        <f>INDEX('Balance Sheet'!H:H,MATCH($B28,'Balance Sheet'!$C:$C,0))</f>
        <v>-10113833.090072921</v>
      </c>
    </row>
    <row r="29" spans="2:15" s="11" customFormat="1" x14ac:dyDescent="0.25">
      <c r="B29" s="326"/>
      <c r="C29" s="326" t="s">
        <v>461</v>
      </c>
      <c r="D29" s="329"/>
      <c r="E29" s="539">
        <f>SUM(E26:E28)</f>
        <v>5600000</v>
      </c>
      <c r="F29" s="539">
        <f>SUM(F26:F28)</f>
        <v>9400000</v>
      </c>
      <c r="G29" s="539">
        <f>SUM(G26:G28)</f>
        <v>0</v>
      </c>
      <c r="H29" s="539">
        <f>SUM(H26:H28)</f>
        <v>-10113833.090072921</v>
      </c>
      <c r="I29" s="326"/>
      <c r="J29" s="540">
        <f>+J28+J27+J26</f>
        <v>4886166.9099270795</v>
      </c>
      <c r="K29" s="326"/>
      <c r="L29" s="539"/>
      <c r="M29" s="539"/>
      <c r="N29" s="539"/>
      <c r="O29" s="539"/>
    </row>
    <row r="30" spans="2:15" x14ac:dyDescent="0.25">
      <c r="B30" s="323"/>
      <c r="C30" s="323"/>
      <c r="D30" s="324"/>
      <c r="E30" s="324"/>
      <c r="F30" s="324"/>
      <c r="G30" s="324"/>
      <c r="H30" s="324"/>
      <c r="I30" s="326"/>
      <c r="J30" s="330"/>
      <c r="K30" s="323"/>
      <c r="L30" s="333"/>
      <c r="M30" s="333"/>
      <c r="N30" s="333"/>
      <c r="O30" s="333"/>
    </row>
    <row r="31" spans="2:15" s="11" customFormat="1" x14ac:dyDescent="0.25">
      <c r="B31" s="326"/>
      <c r="C31" s="326" t="s">
        <v>462</v>
      </c>
      <c r="D31" s="329"/>
      <c r="E31" s="539">
        <f>+E17+E23+E29</f>
        <v>68916.666666666977</v>
      </c>
      <c r="F31" s="539">
        <f>+F17+F23+F29</f>
        <v>504625.85451527126</v>
      </c>
      <c r="G31" s="539">
        <f>+G17+G23+G29</f>
        <v>389377.56354581343</v>
      </c>
      <c r="H31" s="539">
        <f>+H17+H23+H29</f>
        <v>2229377.5635458138</v>
      </c>
      <c r="I31" s="326"/>
      <c r="J31" s="332">
        <f>+J29+J23+J17</f>
        <v>3192297.6482735649</v>
      </c>
      <c r="K31" s="326"/>
      <c r="L31" s="539"/>
      <c r="M31" s="539"/>
      <c r="N31" s="539"/>
      <c r="O31" s="539"/>
    </row>
    <row r="32" spans="2:15" x14ac:dyDescent="0.25">
      <c r="B32" s="326"/>
      <c r="C32" s="323" t="s">
        <v>463</v>
      </c>
      <c r="D32" s="324"/>
      <c r="E32" s="324">
        <f>+D33</f>
        <v>0</v>
      </c>
      <c r="F32" s="324">
        <f t="shared" ref="F32:H32" si="13">+E33</f>
        <v>68916.666666666977</v>
      </c>
      <c r="G32" s="324">
        <f t="shared" si="13"/>
        <v>573542.52118193824</v>
      </c>
      <c r="H32" s="324">
        <f t="shared" si="13"/>
        <v>962920.08472775167</v>
      </c>
      <c r="I32" s="323"/>
      <c r="J32" s="330">
        <v>0</v>
      </c>
      <c r="K32" s="323"/>
      <c r="L32" s="333"/>
      <c r="M32" s="333"/>
      <c r="N32" s="333"/>
      <c r="O32" s="333"/>
    </row>
    <row r="33" spans="2:15" s="11" customFormat="1" x14ac:dyDescent="0.25">
      <c r="B33" s="326"/>
      <c r="C33" s="326" t="s">
        <v>464</v>
      </c>
      <c r="D33" s="329"/>
      <c r="E33" s="329">
        <f>+E31+E32</f>
        <v>68916.666666666977</v>
      </c>
      <c r="F33" s="329">
        <f>+F31+F32</f>
        <v>573542.52118193824</v>
      </c>
      <c r="G33" s="329">
        <f>+G31+G32</f>
        <v>962920.08472775167</v>
      </c>
      <c r="H33" s="329">
        <f>+H31+H32</f>
        <v>3192297.6482735653</v>
      </c>
      <c r="I33" s="326"/>
      <c r="J33" s="540">
        <f>+J31</f>
        <v>3192297.6482735649</v>
      </c>
      <c r="K33" s="326"/>
      <c r="L33" s="539"/>
      <c r="M33" s="539"/>
      <c r="N33" s="539"/>
      <c r="O33" s="539"/>
    </row>
    <row r="34" spans="2:15" x14ac:dyDescent="0.25">
      <c r="B34" s="323"/>
      <c r="C34" s="323"/>
      <c r="D34" s="324"/>
      <c r="E34" s="324"/>
      <c r="F34" s="324"/>
      <c r="G34" s="324"/>
      <c r="H34" s="324"/>
      <c r="I34" s="323"/>
      <c r="J34" s="330">
        <f t="shared" si="2"/>
        <v>0</v>
      </c>
      <c r="K34" s="323"/>
      <c r="L34" s="333"/>
      <c r="M34" s="333"/>
      <c r="N34" s="333"/>
      <c r="O34" s="333"/>
    </row>
    <row r="35" spans="2:15" x14ac:dyDescent="0.25">
      <c r="B35" s="326"/>
      <c r="C35" s="323" t="s">
        <v>445</v>
      </c>
      <c r="D35" s="324"/>
      <c r="E35" s="324">
        <f>+'Balance Sheet'!E11</f>
        <v>68916.666666666686</v>
      </c>
      <c r="F35" s="324">
        <f>+'Balance Sheet'!F11</f>
        <v>573542.52118193777</v>
      </c>
      <c r="G35" s="324">
        <f>+'Balance Sheet'!G11</f>
        <v>962920.08472775144</v>
      </c>
      <c r="H35" s="324">
        <f>+'Balance Sheet'!H11</f>
        <v>3192297.6482735649</v>
      </c>
      <c r="I35" s="326"/>
      <c r="J35" s="330">
        <f>+H35</f>
        <v>3192297.6482735649</v>
      </c>
      <c r="K35" s="323"/>
      <c r="L35" s="333"/>
      <c r="M35" s="333"/>
      <c r="N35" s="333"/>
      <c r="O35" s="333"/>
    </row>
    <row r="36" spans="2:15" x14ac:dyDescent="0.25">
      <c r="B36" s="325"/>
      <c r="C36" s="334" t="s">
        <v>408</v>
      </c>
      <c r="D36" s="334"/>
      <c r="E36" s="334">
        <f>+E35-E33</f>
        <v>-2.9103830456733704E-10</v>
      </c>
      <c r="F36" s="334">
        <f t="shared" ref="F36:H36" si="14">+F35-F33</f>
        <v>0</v>
      </c>
      <c r="G36" s="334">
        <f t="shared" si="14"/>
        <v>0</v>
      </c>
      <c r="H36" s="334">
        <f t="shared" si="14"/>
        <v>0</v>
      </c>
      <c r="I36" s="325"/>
      <c r="J36" s="324">
        <f>+J35-J33</f>
        <v>0</v>
      </c>
      <c r="K36" s="325"/>
      <c r="L36" s="333"/>
      <c r="M36" s="333"/>
      <c r="N36" s="333"/>
      <c r="O36" s="333"/>
    </row>
  </sheetData>
  <pageMargins left="0.7" right="0.7" top="0.75" bottom="0.75" header="0.3" footer="0.3"/>
  <pageSetup paperSize="9" scale="5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3CCDB-6D05-46C0-B89A-9AC2325A444B}">
  <sheetPr>
    <tabColor theme="7" tint="0.79998168889431442"/>
  </sheetPr>
  <dimension ref="B1:X21"/>
  <sheetViews>
    <sheetView showGridLines="0" zoomScaleNormal="100" zoomScaleSheetLayoutView="100" workbookViewId="0">
      <selection activeCell="L7" sqref="L7"/>
    </sheetView>
  </sheetViews>
  <sheetFormatPr defaultRowHeight="15.75" outlineLevelCol="1" x14ac:dyDescent="0.25"/>
  <cols>
    <col min="1" max="1" width="1.42578125" style="10" customWidth="1"/>
    <col min="2" max="2" width="3" style="10" customWidth="1"/>
    <col min="3" max="5" width="3.140625" style="10" customWidth="1"/>
    <col min="6" max="6" width="3.5703125" style="10" customWidth="1"/>
    <col min="7" max="7" width="5.85546875" style="10" customWidth="1"/>
    <col min="8" max="8" width="28.7109375" style="10" customWidth="1"/>
    <col min="9" max="9" width="5.42578125" style="10" customWidth="1"/>
    <col min="10" max="10" width="14" style="10" customWidth="1" outlineLevel="1"/>
    <col min="11" max="12" width="18.85546875" style="10" customWidth="1" outlineLevel="1"/>
    <col min="13" max="14" width="18.85546875" style="10" customWidth="1"/>
    <col min="15" max="15" width="19.42578125" style="10" customWidth="1"/>
    <col min="16" max="16" width="10.7109375" style="10" bestFit="1" customWidth="1"/>
    <col min="17" max="17" width="20" style="10" customWidth="1"/>
    <col min="18" max="18" width="22.85546875" style="10" customWidth="1"/>
    <col min="19" max="19" width="10.42578125" style="10" bestFit="1" customWidth="1"/>
    <col min="20" max="20" width="10.7109375" style="10" bestFit="1" customWidth="1"/>
    <col min="21" max="21" width="10.28515625" style="10" bestFit="1" customWidth="1"/>
    <col min="22" max="23" width="9.140625" style="10"/>
    <col min="24" max="24" width="3.85546875" style="10" customWidth="1"/>
    <col min="25" max="16384" width="9.140625" style="10"/>
  </cols>
  <sheetData>
    <row r="1" spans="2:24" s="31" customFormat="1" ht="11.25" customHeight="1" x14ac:dyDescent="0.25">
      <c r="B1" s="36"/>
      <c r="T1" s="10"/>
      <c r="U1" s="10"/>
      <c r="V1" s="10"/>
      <c r="W1" s="10"/>
      <c r="X1" s="546" t="s">
        <v>60</v>
      </c>
    </row>
    <row r="2" spans="2:24" s="31" customFormat="1" ht="11.25" customHeight="1" x14ac:dyDescent="0.25">
      <c r="B2" s="36"/>
      <c r="T2" s="10"/>
      <c r="U2" s="10"/>
      <c r="V2" s="10"/>
      <c r="W2" s="10"/>
      <c r="X2" s="546"/>
    </row>
    <row r="3" spans="2:24" x14ac:dyDescent="0.25">
      <c r="C3" s="11" t="str">
        <f>+'FS Cover'!E4</f>
        <v>Good Practices Fund I, L.P.</v>
      </c>
      <c r="X3" s="547" t="s">
        <v>61</v>
      </c>
    </row>
    <row r="4" spans="2:24" x14ac:dyDescent="0.25">
      <c r="C4" s="11" t="s">
        <v>62</v>
      </c>
      <c r="Q4" s="12"/>
      <c r="R4" s="44">
        <f>+'FS Cover'!G6</f>
        <v>45657</v>
      </c>
    </row>
    <row r="5" spans="2:24" x14ac:dyDescent="0.25">
      <c r="C5" s="11" t="str">
        <f>+'Changes in Partners'' Capital'!E7</f>
        <v>For the Year Ended December 31, 2024</v>
      </c>
      <c r="Q5" s="12" t="s">
        <v>63</v>
      </c>
      <c r="R5" s="508">
        <f>+'Balance Sheet'!N49</f>
        <v>9741183.0504584182</v>
      </c>
    </row>
    <row r="7" spans="2:24" x14ac:dyDescent="0.25">
      <c r="J7" s="439"/>
      <c r="K7" s="439" t="s">
        <v>466</v>
      </c>
      <c r="L7" s="439"/>
      <c r="T7" s="44"/>
    </row>
    <row r="8" spans="2:24" ht="47.25" x14ac:dyDescent="0.25">
      <c r="F8" s="11" t="s">
        <v>64</v>
      </c>
      <c r="J8" s="125" t="s">
        <v>161</v>
      </c>
      <c r="K8" s="125" t="s">
        <v>65</v>
      </c>
      <c r="L8" s="125" t="s">
        <v>465</v>
      </c>
      <c r="M8" s="125" t="str">
        <f>+J8</f>
        <v>% of Partners' Capital</v>
      </c>
      <c r="N8" s="125" t="str">
        <f>+K8</f>
        <v>Cost</v>
      </c>
      <c r="O8" s="125" t="s">
        <v>66</v>
      </c>
      <c r="P8" s="125" t="s">
        <v>67</v>
      </c>
      <c r="Q8" s="125" t="s">
        <v>68</v>
      </c>
      <c r="R8" s="125" t="s">
        <v>69</v>
      </c>
    </row>
    <row r="9" spans="2:24" x14ac:dyDescent="0.25">
      <c r="F9" s="10" t="str">
        <f>+'Business Plan'!$C$34</f>
        <v>Laundromat</v>
      </c>
      <c r="H9" s="11"/>
      <c r="J9" s="335"/>
      <c r="K9" s="75"/>
      <c r="L9" s="75"/>
      <c r="M9" s="75"/>
      <c r="N9" s="75"/>
      <c r="O9" s="75"/>
      <c r="Q9" s="56"/>
      <c r="R9" s="56"/>
    </row>
    <row r="10" spans="2:24" x14ac:dyDescent="0.25">
      <c r="G10" s="10" t="s">
        <v>381</v>
      </c>
      <c r="H10" s="11"/>
      <c r="J10" s="335">
        <f>IFERROR(K10/$R$5,0)</f>
        <v>8.2125548391409411E-2</v>
      </c>
      <c r="K10" s="75">
        <f>+'Business Plan'!D37</f>
        <v>800000</v>
      </c>
      <c r="L10" s="75">
        <f>+K10</f>
        <v>800000</v>
      </c>
      <c r="M10" s="511">
        <f>IFERROR(N10/$R$5,0)</f>
        <v>8.2125548391409411E-2</v>
      </c>
      <c r="N10" s="512">
        <f>+'Business Plan'!D37</f>
        <v>800000</v>
      </c>
      <c r="O10" s="512">
        <f>+K10</f>
        <v>800000</v>
      </c>
      <c r="P10" s="514" t="s">
        <v>61</v>
      </c>
      <c r="Q10" s="514">
        <f>SUM(Q7:Q9)</f>
        <v>0</v>
      </c>
      <c r="R10" s="514">
        <f>SUM(R7:R9)</f>
        <v>0</v>
      </c>
    </row>
    <row r="11" spans="2:24" x14ac:dyDescent="0.25">
      <c r="F11" s="10" t="str">
        <f>+'Business Plan'!C46</f>
        <v>AI Tech</v>
      </c>
    </row>
    <row r="12" spans="2:24" x14ac:dyDescent="0.25">
      <c r="G12" s="10" t="s">
        <v>382</v>
      </c>
      <c r="J12" s="335">
        <f>IFERROR(K12/$R$5,0)</f>
        <v>0.47222190325060415</v>
      </c>
      <c r="K12" s="75">
        <f>+'Business Plan'!$D$49</f>
        <v>4600000</v>
      </c>
      <c r="L12" s="75">
        <f>+'Business Plan'!D54</f>
        <v>9200000</v>
      </c>
      <c r="M12" s="512"/>
      <c r="N12" s="512">
        <v>0</v>
      </c>
      <c r="O12" s="512">
        <v>0</v>
      </c>
      <c r="P12" s="513" t="s">
        <v>60</v>
      </c>
      <c r="Q12" s="514">
        <f>+L12-K12</f>
        <v>4600000</v>
      </c>
      <c r="R12" s="514">
        <f>IF(P12="Y",0,-K12)</f>
        <v>0</v>
      </c>
    </row>
    <row r="13" spans="2:24" x14ac:dyDescent="0.25">
      <c r="F13" s="10" t="str">
        <f>+'Business Plan'!C58</f>
        <v>E-commerce</v>
      </c>
    </row>
    <row r="14" spans="2:24" x14ac:dyDescent="0.25">
      <c r="G14" s="10" t="s">
        <v>383</v>
      </c>
      <c r="J14" s="335">
        <f>IFERROR(K14/$R$5,0)</f>
        <v>0.4106277419570471</v>
      </c>
      <c r="K14" s="75">
        <f>+'Business Plan'!$D$62</f>
        <v>4000000</v>
      </c>
      <c r="L14" s="75">
        <f>+K14</f>
        <v>4000000</v>
      </c>
      <c r="M14" s="335">
        <f>IFERROR(N14/$R$5,0)</f>
        <v>0.4106277419570471</v>
      </c>
      <c r="N14" s="75">
        <f>+'Business Plan'!D62</f>
        <v>4000000</v>
      </c>
      <c r="O14" s="75">
        <v>5000000</v>
      </c>
      <c r="P14" s="10" t="s">
        <v>61</v>
      </c>
      <c r="Q14" s="56"/>
      <c r="R14" s="56">
        <f>+O14-K14</f>
        <v>1000000</v>
      </c>
    </row>
    <row r="15" spans="2:24" x14ac:dyDescent="0.25">
      <c r="G15" s="10" t="s">
        <v>740</v>
      </c>
      <c r="J15" s="335">
        <f>IFERROR(K15/$R$5,0)</f>
        <v>0.20531387097852355</v>
      </c>
      <c r="K15" s="75">
        <f>+'Business Plan'!$D$63</f>
        <v>2000000</v>
      </c>
      <c r="L15" s="75">
        <f>+K15</f>
        <v>2000000</v>
      </c>
      <c r="M15" s="511">
        <f>IFERROR(N15/$R$5,0)</f>
        <v>0.1691416154262855</v>
      </c>
      <c r="N15" s="512">
        <f>+O15</f>
        <v>1647639.4373176885</v>
      </c>
      <c r="O15" s="512">
        <f>INDEX('E-Commerce Loan'!$I:$I,MATCH(R4,'E-Commerce Loan'!$D:$D,0))</f>
        <v>1647639.4373176885</v>
      </c>
      <c r="P15" s="513" t="s">
        <v>61</v>
      </c>
      <c r="Q15" s="514">
        <v>0</v>
      </c>
      <c r="R15" s="514">
        <f>+O15-N15</f>
        <v>0</v>
      </c>
    </row>
    <row r="16" spans="2:24" x14ac:dyDescent="0.25">
      <c r="F16" s="10" t="str">
        <f>+'Business Plan'!$C$75</f>
        <v>Apartment Complex Loan</v>
      </c>
    </row>
    <row r="17" spans="7:18" x14ac:dyDescent="0.25">
      <c r="G17" s="10" t="s">
        <v>741</v>
      </c>
      <c r="J17" s="335">
        <f>IFERROR(K17/$R$5,0)</f>
        <v>0.3079708064677853</v>
      </c>
      <c r="K17" s="75">
        <f>+'Business Plan'!$D$79</f>
        <v>3000000</v>
      </c>
      <c r="L17" s="75">
        <f>+K17</f>
        <v>3000000</v>
      </c>
      <c r="M17" s="511"/>
      <c r="N17" s="512">
        <v>0</v>
      </c>
      <c r="O17" s="512">
        <v>0</v>
      </c>
      <c r="P17" s="514" t="s">
        <v>60</v>
      </c>
      <c r="Q17" s="514">
        <f>+K17-L17</f>
        <v>0</v>
      </c>
      <c r="R17" s="514">
        <v>0</v>
      </c>
    </row>
    <row r="18" spans="7:18" x14ac:dyDescent="0.25">
      <c r="H18" s="11"/>
      <c r="J18" s="63"/>
      <c r="K18" s="75"/>
      <c r="L18" s="75"/>
      <c r="M18" s="75"/>
      <c r="N18" s="75"/>
      <c r="O18" s="75"/>
      <c r="Q18" s="56"/>
      <c r="R18" s="56"/>
    </row>
    <row r="19" spans="7:18" ht="16.5" thickBot="1" x14ac:dyDescent="0.3">
      <c r="H19" s="11" t="s">
        <v>160</v>
      </c>
      <c r="I19" s="11"/>
      <c r="J19" s="509">
        <f>SUM(J9:J18)</f>
        <v>1.4782598710453696</v>
      </c>
      <c r="K19" s="84">
        <f>SUM(K9:K17)</f>
        <v>14400000</v>
      </c>
      <c r="L19" s="84"/>
      <c r="M19" s="515">
        <f>SUM(M9:M18)</f>
        <v>0.66189490577474197</v>
      </c>
      <c r="N19" s="516">
        <f>SUM(N9:N17)</f>
        <v>6447639.437317688</v>
      </c>
      <c r="O19" s="516">
        <f>SUM(O9:O17)</f>
        <v>7447639.437317688</v>
      </c>
      <c r="P19" s="517"/>
      <c r="Q19" s="516">
        <f>SUM(Q9:Q17)</f>
        <v>4600000</v>
      </c>
      <c r="R19" s="516">
        <f>SUM(R9:R17)</f>
        <v>1000000</v>
      </c>
    </row>
    <row r="21" spans="7:18" x14ac:dyDescent="0.25">
      <c r="H21" s="335"/>
      <c r="K21" s="60"/>
      <c r="L21" s="60"/>
      <c r="M21" s="60"/>
      <c r="N21" s="60"/>
      <c r="O21" s="510">
        <f>+O19-'Balance Sheet'!H10-'Balance Sheet'!H18</f>
        <v>0</v>
      </c>
    </row>
  </sheetData>
  <dataValidations disablePrompts="1" count="1">
    <dataValidation type="list" allowBlank="1" showInputMessage="1" showErrorMessage="1" sqref="P12 P10 P14:P15 P17" xr:uid="{7E6B83BC-A34B-4D7B-BDAB-D0D3C8F14453}">
      <formula1>$X$1:$X$3</formula1>
    </dataValidation>
  </dataValidations>
  <pageMargins left="0.7" right="0.7" top="0.75" bottom="0.75" header="0.3" footer="0.3"/>
  <pageSetup paperSize="9" scale="52" orientation="portrait" r:id="rId1"/>
  <colBreaks count="1" manualBreakCount="1">
    <brk id="18"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80539-34A9-4F88-9EEE-BC33227F1187}">
  <sheetPr>
    <tabColor theme="4" tint="0.79998168889431442"/>
  </sheetPr>
  <dimension ref="A1:R86"/>
  <sheetViews>
    <sheetView showGridLines="0" tabSelected="1" view="pageBreakPreview" zoomScaleNormal="70" zoomScaleSheetLayoutView="100" workbookViewId="0">
      <pane xSplit="2" ySplit="4" topLeftCell="C5" activePane="bottomRight" state="frozen"/>
      <selection pane="topRight" activeCell="C1" sqref="C1"/>
      <selection pane="bottomLeft" activeCell="A5" sqref="A5"/>
      <selection pane="bottomRight" activeCell="C46" sqref="C46:K47"/>
    </sheetView>
  </sheetViews>
  <sheetFormatPr defaultRowHeight="15.75" outlineLevelCol="1" x14ac:dyDescent="0.25"/>
  <cols>
    <col min="1" max="1" width="9.140625" style="10" customWidth="1" outlineLevel="1"/>
    <col min="2" max="2" width="31" style="10" customWidth="1"/>
    <col min="3" max="3" width="10.85546875" style="10" bestFit="1" customWidth="1"/>
    <col min="4" max="7" width="12.85546875" style="10" bestFit="1" customWidth="1"/>
    <col min="8" max="8" width="12.85546875" style="10" customWidth="1"/>
    <col min="9" max="9" width="12.85546875" style="10" bestFit="1" customWidth="1"/>
    <col min="10" max="10" width="3.5703125" style="10" customWidth="1"/>
    <col min="11" max="11" width="14.5703125" style="10" bestFit="1" customWidth="1"/>
    <col min="12" max="12" width="6.7109375" style="10" customWidth="1"/>
    <col min="13" max="13" width="21.5703125" style="44" bestFit="1" customWidth="1"/>
    <col min="14" max="16384" width="9.140625" style="10"/>
  </cols>
  <sheetData>
    <row r="1" spans="1:18" x14ac:dyDescent="0.25">
      <c r="L1" s="10" t="s">
        <v>280</v>
      </c>
      <c r="M1" s="44">
        <f>+'FS Cover'!E6</f>
        <v>45292</v>
      </c>
    </row>
    <row r="2" spans="1:18" x14ac:dyDescent="0.25">
      <c r="L2" s="10" t="s">
        <v>279</v>
      </c>
      <c r="M2" s="44">
        <f>+'FS Cover'!G6</f>
        <v>45657</v>
      </c>
    </row>
    <row r="3" spans="1:18" x14ac:dyDescent="0.25">
      <c r="C3" s="435" t="s">
        <v>721</v>
      </c>
    </row>
    <row r="4" spans="1:18" s="11" customFormat="1" x14ac:dyDescent="0.25">
      <c r="B4" s="11" t="s">
        <v>278</v>
      </c>
      <c r="C4" s="11" t="s">
        <v>151</v>
      </c>
      <c r="D4" s="11" t="s">
        <v>277</v>
      </c>
      <c r="E4" s="11" t="s">
        <v>276</v>
      </c>
      <c r="F4" s="11" t="s">
        <v>275</v>
      </c>
      <c r="G4" s="11" t="s">
        <v>274</v>
      </c>
      <c r="H4" s="11" t="s">
        <v>273</v>
      </c>
      <c r="I4" s="11" t="s">
        <v>470</v>
      </c>
      <c r="K4" s="11" t="s">
        <v>41</v>
      </c>
      <c r="M4" s="352"/>
      <c r="O4" s="10"/>
      <c r="P4" s="10"/>
      <c r="Q4" s="10"/>
      <c r="R4" s="10"/>
    </row>
    <row r="5" spans="1:18" x14ac:dyDescent="0.25">
      <c r="B5" s="10" t="s">
        <v>272</v>
      </c>
      <c r="C5" s="120">
        <f>+C44/C10</f>
        <v>0.32366774270208931</v>
      </c>
      <c r="D5" s="120">
        <f t="shared" ref="D5:K5" si="0">+D44/D10</f>
        <v>0.32366774270208931</v>
      </c>
      <c r="E5" s="120">
        <f t="shared" si="0"/>
        <v>0.32366774270208931</v>
      </c>
      <c r="F5" s="120">
        <f t="shared" si="0"/>
        <v>0.32366774270208931</v>
      </c>
      <c r="G5" s="120">
        <f t="shared" si="0"/>
        <v>0.32366774270208931</v>
      </c>
      <c r="H5" s="120">
        <f t="shared" si="0"/>
        <v>0.32366774270208931</v>
      </c>
      <c r="I5" s="120">
        <f t="shared" si="0"/>
        <v>0.32366774270208931</v>
      </c>
      <c r="K5" s="120">
        <f t="shared" si="0"/>
        <v>0.32366774270208931</v>
      </c>
      <c r="M5" s="112"/>
    </row>
    <row r="6" spans="1:18" x14ac:dyDescent="0.25">
      <c r="M6" s="112"/>
    </row>
    <row r="7" spans="1:18" x14ac:dyDescent="0.25">
      <c r="B7" s="10" t="s">
        <v>501</v>
      </c>
      <c r="C7" s="120">
        <f>+'Business Plan'!D29</f>
        <v>0.01</v>
      </c>
      <c r="D7" s="120">
        <f>+'Business Plan'!$D$30/('Business Plan'!$D$28-1)</f>
        <v>0.16500000000000001</v>
      </c>
      <c r="E7" s="120">
        <f>+'Business Plan'!$D$30/('Business Plan'!$D$28-1)</f>
        <v>0.16500000000000001</v>
      </c>
      <c r="F7" s="518">
        <f>+'Business Plan'!$D$30/('Business Plan'!$D$28-1)</f>
        <v>0.16500000000000001</v>
      </c>
      <c r="G7" s="120">
        <f>+'Business Plan'!$D$30/('Business Plan'!$D$28-1)</f>
        <v>0.16500000000000001</v>
      </c>
      <c r="H7" s="120">
        <f>+'Business Plan'!$D$30/('Business Plan'!$D$28-1)</f>
        <v>0.16500000000000001</v>
      </c>
      <c r="I7" s="120">
        <f>+'Business Plan'!$D$30/('Business Plan'!$D$28-1)</f>
        <v>0.16500000000000001</v>
      </c>
      <c r="J7" s="335"/>
      <c r="K7" s="121">
        <f>SUM(C7:J7)</f>
        <v>1</v>
      </c>
      <c r="M7" s="110" t="str">
        <f>+B7</f>
        <v>% Owned of the Fund</v>
      </c>
    </row>
    <row r="8" spans="1:18" x14ac:dyDescent="0.25">
      <c r="B8" s="10" t="s">
        <v>502</v>
      </c>
      <c r="C8" s="120"/>
      <c r="D8" s="120">
        <f>+$K$7/('Business Plan'!$D$28-1)</f>
        <v>0.16666666666666666</v>
      </c>
      <c r="E8" s="120">
        <f>+$K$7/('Business Plan'!$D$28-1)</f>
        <v>0.16666666666666666</v>
      </c>
      <c r="F8" s="120">
        <f>+$K$7/('Business Plan'!$D$28-1)</f>
        <v>0.16666666666666666</v>
      </c>
      <c r="G8" s="120">
        <f>+$K$7/('Business Plan'!$D$28-1)</f>
        <v>0.16666666666666666</v>
      </c>
      <c r="H8" s="120">
        <f>+$K$7/('Business Plan'!$D$28-1)</f>
        <v>0.16666666666666666</v>
      </c>
      <c r="I8" s="120">
        <f>+$K$7/('Business Plan'!$D$28-1)</f>
        <v>0.16666666666666666</v>
      </c>
      <c r="J8" s="335"/>
      <c r="K8" s="121">
        <f>SUM(C8:J8)</f>
        <v>0.99999999999999989</v>
      </c>
      <c r="M8" s="110"/>
    </row>
    <row r="9" spans="1:18" x14ac:dyDescent="0.25">
      <c r="C9" s="120"/>
      <c r="D9" s="120"/>
      <c r="E9" s="120"/>
      <c r="F9" s="120"/>
      <c r="G9" s="120"/>
      <c r="H9" s="120"/>
      <c r="I9" s="120"/>
      <c r="J9" s="335"/>
      <c r="K9" s="121"/>
      <c r="M9" s="110"/>
    </row>
    <row r="10" spans="1:18" x14ac:dyDescent="0.25">
      <c r="B10" s="10" t="s">
        <v>271</v>
      </c>
      <c r="C10" s="96">
        <f t="shared" ref="C10:I10" si="1">+$K10*C$7</f>
        <v>150000</v>
      </c>
      <c r="D10" s="96">
        <f t="shared" si="1"/>
        <v>2475000</v>
      </c>
      <c r="E10" s="96">
        <f t="shared" si="1"/>
        <v>2475000</v>
      </c>
      <c r="F10" s="96">
        <f t="shared" si="1"/>
        <v>2475000</v>
      </c>
      <c r="G10" s="96">
        <f t="shared" si="1"/>
        <v>2475000</v>
      </c>
      <c r="H10" s="96">
        <f t="shared" si="1"/>
        <v>2475000</v>
      </c>
      <c r="I10" s="96">
        <f t="shared" si="1"/>
        <v>2475000</v>
      </c>
      <c r="J10" s="347"/>
      <c r="K10" s="122">
        <f>+'Business Plan'!D25</f>
        <v>15000000</v>
      </c>
      <c r="M10" s="112"/>
    </row>
    <row r="11" spans="1:18" x14ac:dyDescent="0.25">
      <c r="C11" s="96"/>
      <c r="D11" s="96"/>
      <c r="E11" s="96"/>
      <c r="F11" s="96"/>
      <c r="G11" s="96"/>
      <c r="H11" s="96"/>
      <c r="I11" s="96"/>
      <c r="J11" s="347"/>
      <c r="K11" s="122"/>
      <c r="M11" s="112"/>
    </row>
    <row r="12" spans="1:18" x14ac:dyDescent="0.25">
      <c r="A12" s="343" t="s">
        <v>94</v>
      </c>
      <c r="B12" s="10" t="s">
        <v>70</v>
      </c>
      <c r="C12" s="96">
        <f t="shared" ref="C12:I13" si="2">+$K12*C$7</f>
        <v>150000</v>
      </c>
      <c r="D12" s="96">
        <f t="shared" si="2"/>
        <v>2475000</v>
      </c>
      <c r="E12" s="96">
        <f t="shared" si="2"/>
        <v>2475000</v>
      </c>
      <c r="F12" s="96">
        <f t="shared" si="2"/>
        <v>2475000</v>
      </c>
      <c r="G12" s="96">
        <f t="shared" si="2"/>
        <v>2475000</v>
      </c>
      <c r="H12" s="96">
        <f t="shared" si="2"/>
        <v>2475000</v>
      </c>
      <c r="I12" s="96">
        <f t="shared" si="2"/>
        <v>2475000</v>
      </c>
      <c r="J12" s="347"/>
      <c r="K12" s="122">
        <f>-SUMIFS('Trial Balance'!D:D,'Trial Balance'!C:C,'Investor Allocations'!A12)</f>
        <v>15000000</v>
      </c>
      <c r="M12" s="112" t="s">
        <v>163</v>
      </c>
    </row>
    <row r="13" spans="1:18" x14ac:dyDescent="0.25">
      <c r="A13" s="343" t="s">
        <v>476</v>
      </c>
      <c r="B13" s="10" t="s">
        <v>483</v>
      </c>
      <c r="C13" s="96">
        <f t="shared" si="2"/>
        <v>-101138.33090072921</v>
      </c>
      <c r="D13" s="96">
        <f t="shared" si="2"/>
        <v>-1668782.459862032</v>
      </c>
      <c r="E13" s="96">
        <f t="shared" si="2"/>
        <v>-1668782.459862032</v>
      </c>
      <c r="F13" s="96">
        <f t="shared" si="2"/>
        <v>-1668782.459862032</v>
      </c>
      <c r="G13" s="96">
        <f t="shared" si="2"/>
        <v>-1668782.459862032</v>
      </c>
      <c r="H13" s="96">
        <f t="shared" si="2"/>
        <v>-1668782.459862032</v>
      </c>
      <c r="I13" s="96">
        <f t="shared" si="2"/>
        <v>-1668782.459862032</v>
      </c>
      <c r="J13" s="347"/>
      <c r="K13" s="122">
        <f>-SUMIFS('Trial Balance'!D:D,'Trial Balance'!C:C,'Investor Allocations'!A13)</f>
        <v>-10113833.090072921</v>
      </c>
      <c r="M13" s="112" t="s">
        <v>164</v>
      </c>
    </row>
    <row r="14" spans="1:18" x14ac:dyDescent="0.25">
      <c r="A14" s="343"/>
      <c r="C14" s="96"/>
      <c r="D14" s="96"/>
      <c r="E14" s="96"/>
      <c r="F14" s="96"/>
      <c r="G14" s="96"/>
      <c r="H14" s="96"/>
      <c r="I14" s="96"/>
      <c r="J14" s="347"/>
      <c r="K14" s="122"/>
      <c r="M14" s="112"/>
    </row>
    <row r="15" spans="1:18" s="11" customFormat="1" x14ac:dyDescent="0.25">
      <c r="B15" s="11" t="s">
        <v>484</v>
      </c>
      <c r="C15" s="344">
        <f t="shared" ref="C15:H15" si="3">+$K15*C$7</f>
        <v>48861.669099270795</v>
      </c>
      <c r="D15" s="344">
        <f t="shared" si="3"/>
        <v>806217.54013796814</v>
      </c>
      <c r="E15" s="344">
        <f t="shared" si="3"/>
        <v>806217.54013796814</v>
      </c>
      <c r="F15" s="344">
        <f t="shared" si="3"/>
        <v>806217.54013796814</v>
      </c>
      <c r="G15" s="344">
        <f t="shared" si="3"/>
        <v>806217.54013796814</v>
      </c>
      <c r="H15" s="344">
        <f t="shared" si="3"/>
        <v>806217.54013796814</v>
      </c>
      <c r="I15" s="344">
        <f t="shared" ref="I15" si="4">+$K15*I$7</f>
        <v>806217.54013796814</v>
      </c>
      <c r="J15" s="345"/>
      <c r="K15" s="353">
        <f>+K13+K12</f>
        <v>4886166.9099270795</v>
      </c>
      <c r="M15" s="352"/>
    </row>
    <row r="16" spans="1:18" x14ac:dyDescent="0.25">
      <c r="C16" s="96"/>
      <c r="D16" s="96"/>
      <c r="E16" s="96"/>
      <c r="F16" s="96"/>
      <c r="G16" s="96"/>
      <c r="H16" s="96"/>
      <c r="I16" s="96"/>
      <c r="J16" s="347"/>
      <c r="K16" s="122"/>
      <c r="M16" s="112"/>
    </row>
    <row r="17" spans="1:13" x14ac:dyDescent="0.25">
      <c r="A17" s="343" t="s">
        <v>471</v>
      </c>
      <c r="B17" s="10" t="s">
        <v>21</v>
      </c>
      <c r="C17" s="96">
        <f t="shared" ref="C17:I19" si="5">+$K17*C$7</f>
        <v>3397.7017566417462</v>
      </c>
      <c r="D17" s="96">
        <f t="shared" si="5"/>
        <v>56062.078984588814</v>
      </c>
      <c r="E17" s="96">
        <f t="shared" si="5"/>
        <v>56062.078984588814</v>
      </c>
      <c r="F17" s="96">
        <f t="shared" si="5"/>
        <v>56062.078984588814</v>
      </c>
      <c r="G17" s="96">
        <f t="shared" si="5"/>
        <v>56062.078984588814</v>
      </c>
      <c r="H17" s="96">
        <f t="shared" si="5"/>
        <v>56062.078984588814</v>
      </c>
      <c r="I17" s="96">
        <f t="shared" si="5"/>
        <v>56062.078984588814</v>
      </c>
      <c r="J17" s="347"/>
      <c r="K17" s="122">
        <f>INDEX('Income Statement'!$J$7:$N$37,MATCH($B17,'Income Statement'!$J$7:$J$37,0),MATCH($M$2,'Income Statement'!$J$7:$N$7,0))</f>
        <v>339770.1756641746</v>
      </c>
      <c r="M17" s="112"/>
    </row>
    <row r="18" spans="1:13" x14ac:dyDescent="0.25">
      <c r="A18" s="343" t="s">
        <v>472</v>
      </c>
      <c r="B18" s="10" t="s">
        <v>113</v>
      </c>
      <c r="C18" s="96">
        <f t="shared" si="5"/>
        <v>2600</v>
      </c>
      <c r="D18" s="96">
        <f t="shared" si="5"/>
        <v>42900</v>
      </c>
      <c r="E18" s="96">
        <f t="shared" si="5"/>
        <v>42900</v>
      </c>
      <c r="F18" s="96">
        <f t="shared" si="5"/>
        <v>42900</v>
      </c>
      <c r="G18" s="96">
        <f t="shared" si="5"/>
        <v>42900</v>
      </c>
      <c r="H18" s="96">
        <f t="shared" si="5"/>
        <v>42900</v>
      </c>
      <c r="I18" s="96">
        <f t="shared" si="5"/>
        <v>42900</v>
      </c>
      <c r="J18" s="347"/>
      <c r="K18" s="122">
        <f>INDEX('Income Statement'!$J$7:$N$37,MATCH($B18,'Income Statement'!$J$7:$J$37,0),MATCH($M$2,'Income Statement'!$J$7:$N$7,0))</f>
        <v>260000</v>
      </c>
      <c r="M18" s="112"/>
    </row>
    <row r="19" spans="1:13" x14ac:dyDescent="0.25">
      <c r="B19" s="10" t="s">
        <v>105</v>
      </c>
      <c r="C19" s="96">
        <f t="shared" si="5"/>
        <v>0</v>
      </c>
      <c r="D19" s="96">
        <f t="shared" si="5"/>
        <v>0</v>
      </c>
      <c r="E19" s="96">
        <f t="shared" si="5"/>
        <v>0</v>
      </c>
      <c r="F19" s="96">
        <f t="shared" si="5"/>
        <v>0</v>
      </c>
      <c r="G19" s="96">
        <f t="shared" si="5"/>
        <v>0</v>
      </c>
      <c r="H19" s="96">
        <f t="shared" si="5"/>
        <v>0</v>
      </c>
      <c r="I19" s="96">
        <f t="shared" si="5"/>
        <v>0</v>
      </c>
      <c r="J19" s="347"/>
      <c r="K19" s="122"/>
      <c r="M19" s="112"/>
    </row>
    <row r="20" spans="1:13" x14ac:dyDescent="0.25">
      <c r="C20" s="96"/>
      <c r="D20" s="96"/>
      <c r="E20" s="96"/>
      <c r="F20" s="96"/>
      <c r="G20" s="96"/>
      <c r="H20" s="96"/>
      <c r="I20" s="96"/>
      <c r="J20" s="347"/>
      <c r="K20" s="122"/>
      <c r="M20" s="112"/>
    </row>
    <row r="21" spans="1:13" s="11" customFormat="1" x14ac:dyDescent="0.25">
      <c r="B21" s="11" t="s">
        <v>52</v>
      </c>
      <c r="C21" s="344">
        <f t="shared" ref="C21:I21" si="6">+$K21*C$7</f>
        <v>5997.7017566417462</v>
      </c>
      <c r="D21" s="344">
        <f t="shared" si="6"/>
        <v>98962.078984588821</v>
      </c>
      <c r="E21" s="344">
        <f t="shared" si="6"/>
        <v>98962.078984588821</v>
      </c>
      <c r="F21" s="344">
        <f t="shared" si="6"/>
        <v>98962.078984588821</v>
      </c>
      <c r="G21" s="344">
        <f t="shared" si="6"/>
        <v>98962.078984588821</v>
      </c>
      <c r="H21" s="344">
        <f t="shared" si="6"/>
        <v>98962.078984588821</v>
      </c>
      <c r="I21" s="344">
        <f t="shared" si="6"/>
        <v>98962.078984588821</v>
      </c>
      <c r="J21" s="345"/>
      <c r="K21" s="353">
        <f>+K17+K18+K19</f>
        <v>599770.1756641746</v>
      </c>
      <c r="M21" s="352"/>
    </row>
    <row r="22" spans="1:13" x14ac:dyDescent="0.25">
      <c r="C22" s="96"/>
      <c r="D22" s="96"/>
      <c r="E22" s="96"/>
      <c r="F22" s="96"/>
      <c r="G22" s="96"/>
      <c r="H22" s="96"/>
      <c r="I22" s="96"/>
      <c r="J22" s="347"/>
      <c r="K22" s="122"/>
      <c r="M22" s="112"/>
    </row>
    <row r="23" spans="1:13" x14ac:dyDescent="0.25">
      <c r="B23" s="10" t="s">
        <v>175</v>
      </c>
      <c r="C23" s="96">
        <f t="shared" ref="C23:I32" si="7">+$K23*C$7</f>
        <v>-3000</v>
      </c>
      <c r="D23" s="96">
        <f t="shared" si="7"/>
        <v>-49500</v>
      </c>
      <c r="E23" s="96">
        <f t="shared" si="7"/>
        <v>-49500</v>
      </c>
      <c r="F23" s="96">
        <f t="shared" si="7"/>
        <v>-49500</v>
      </c>
      <c r="G23" s="96">
        <f t="shared" si="7"/>
        <v>-49500</v>
      </c>
      <c r="H23" s="96">
        <f t="shared" si="7"/>
        <v>-49500</v>
      </c>
      <c r="I23" s="96">
        <f t="shared" si="7"/>
        <v>-49500</v>
      </c>
      <c r="J23" s="347"/>
      <c r="K23" s="122">
        <f>-INDEX('Income Statement'!$J$7:$N$37,MATCH($B23,'Income Statement'!$J$7:$J$37,0),MATCH($M$2,'Income Statement'!$J$7:$N$7,0))</f>
        <v>-300000</v>
      </c>
      <c r="M23" s="112"/>
    </row>
    <row r="24" spans="1:13" x14ac:dyDescent="0.25">
      <c r="B24" s="10" t="s">
        <v>446</v>
      </c>
      <c r="C24" s="96">
        <f t="shared" si="7"/>
        <v>-8387.5403513283491</v>
      </c>
      <c r="D24" s="96">
        <f t="shared" si="7"/>
        <v>-138394.41579691778</v>
      </c>
      <c r="E24" s="96">
        <f t="shared" si="7"/>
        <v>-138394.41579691778</v>
      </c>
      <c r="F24" s="96">
        <f t="shared" si="7"/>
        <v>-138394.41579691778</v>
      </c>
      <c r="G24" s="96">
        <f t="shared" si="7"/>
        <v>-138394.41579691778</v>
      </c>
      <c r="H24" s="96">
        <f t="shared" si="7"/>
        <v>-138394.41579691778</v>
      </c>
      <c r="I24" s="96">
        <f t="shared" si="7"/>
        <v>-138394.41579691778</v>
      </c>
      <c r="J24" s="347"/>
      <c r="K24" s="122">
        <f>-INDEX('Income Statement'!$J$7:$N$37,MATCH($B24,'Income Statement'!$J$7:$J$37,0),MATCH($M$2,'Income Statement'!$J$7:$N$7,0))</f>
        <v>-838754.03513283492</v>
      </c>
      <c r="M24" s="112" t="s">
        <v>168</v>
      </c>
    </row>
    <row r="25" spans="1:13" x14ac:dyDescent="0.25">
      <c r="B25" s="10" t="s">
        <v>75</v>
      </c>
      <c r="C25" s="96">
        <f t="shared" si="7"/>
        <v>-2060</v>
      </c>
      <c r="D25" s="96">
        <f t="shared" si="7"/>
        <v>-33990</v>
      </c>
      <c r="E25" s="96">
        <f t="shared" si="7"/>
        <v>-33990</v>
      </c>
      <c r="F25" s="96">
        <f t="shared" si="7"/>
        <v>-33990</v>
      </c>
      <c r="G25" s="96">
        <f t="shared" si="7"/>
        <v>-33990</v>
      </c>
      <c r="H25" s="96">
        <f t="shared" si="7"/>
        <v>-33990</v>
      </c>
      <c r="I25" s="96">
        <f t="shared" si="7"/>
        <v>-33990</v>
      </c>
      <c r="J25" s="347"/>
      <c r="K25" s="122">
        <f>-INDEX('Income Statement'!$J$7:$N$37,MATCH($B25,'Income Statement'!$J$7:$J$37,0),MATCH($M$2,'Income Statement'!$J$7:$N$7,0))</f>
        <v>-206000</v>
      </c>
      <c r="M25" s="112"/>
    </row>
    <row r="26" spans="1:13" x14ac:dyDescent="0.25">
      <c r="B26" s="10" t="s">
        <v>107</v>
      </c>
      <c r="C26" s="96">
        <f t="shared" si="7"/>
        <v>0</v>
      </c>
      <c r="D26" s="96">
        <f t="shared" si="7"/>
        <v>0</v>
      </c>
      <c r="E26" s="96">
        <f t="shared" si="7"/>
        <v>0</v>
      </c>
      <c r="F26" s="96">
        <f t="shared" si="7"/>
        <v>0</v>
      </c>
      <c r="G26" s="96">
        <f t="shared" si="7"/>
        <v>0</v>
      </c>
      <c r="H26" s="96">
        <f t="shared" si="7"/>
        <v>0</v>
      </c>
      <c r="I26" s="96">
        <f t="shared" si="7"/>
        <v>0</v>
      </c>
      <c r="J26" s="347"/>
      <c r="K26" s="122">
        <f>-INDEX('Income Statement'!$J$7:$N$37,MATCH($B26,'Income Statement'!$J$7:$J$37,0),MATCH($M$2,'Income Statement'!$J$7:$N$7,0))</f>
        <v>0</v>
      </c>
      <c r="M26" s="112"/>
    </row>
    <row r="27" spans="1:13" x14ac:dyDescent="0.25">
      <c r="B27" s="10" t="s">
        <v>35</v>
      </c>
      <c r="C27" s="96">
        <f t="shared" si="7"/>
        <v>0</v>
      </c>
      <c r="D27" s="96">
        <f t="shared" si="7"/>
        <v>0</v>
      </c>
      <c r="E27" s="96">
        <f t="shared" si="7"/>
        <v>0</v>
      </c>
      <c r="F27" s="96">
        <f t="shared" si="7"/>
        <v>0</v>
      </c>
      <c r="G27" s="96">
        <f t="shared" si="7"/>
        <v>0</v>
      </c>
      <c r="H27" s="96">
        <f t="shared" si="7"/>
        <v>0</v>
      </c>
      <c r="I27" s="96">
        <f t="shared" si="7"/>
        <v>0</v>
      </c>
      <c r="J27" s="347"/>
      <c r="K27" s="122">
        <f>-INDEX('Income Statement'!$J$7:$N$37,MATCH($B27,'Income Statement'!$J$7:$J$37,0),MATCH($M$2,'Income Statement'!$J$7:$N$7,0))</f>
        <v>0</v>
      </c>
      <c r="M27" s="112"/>
    </row>
    <row r="28" spans="1:13" x14ac:dyDescent="0.25">
      <c r="B28" s="10" t="s">
        <v>131</v>
      </c>
      <c r="C28" s="96">
        <f t="shared" si="7"/>
        <v>0</v>
      </c>
      <c r="D28" s="96">
        <f t="shared" si="7"/>
        <v>0</v>
      </c>
      <c r="E28" s="96">
        <f t="shared" si="7"/>
        <v>0</v>
      </c>
      <c r="F28" s="96">
        <f t="shared" si="7"/>
        <v>0</v>
      </c>
      <c r="G28" s="96">
        <f t="shared" si="7"/>
        <v>0</v>
      </c>
      <c r="H28" s="96">
        <f t="shared" si="7"/>
        <v>0</v>
      </c>
      <c r="I28" s="96">
        <f t="shared" si="7"/>
        <v>0</v>
      </c>
      <c r="J28" s="347"/>
      <c r="K28" s="122">
        <f>-INDEX('Income Statement'!$J$7:$N$37,MATCH($B28,'Income Statement'!$J$7:$J$37,0),MATCH($M$2,'Income Statement'!$J$7:$N$7,0))</f>
        <v>0</v>
      </c>
      <c r="M28" s="112"/>
    </row>
    <row r="29" spans="1:13" x14ac:dyDescent="0.25">
      <c r="B29" s="10" t="s">
        <v>418</v>
      </c>
      <c r="C29" s="96">
        <f t="shared" si="7"/>
        <v>0</v>
      </c>
      <c r="D29" s="96">
        <f t="shared" si="7"/>
        <v>0</v>
      </c>
      <c r="E29" s="96">
        <f t="shared" si="7"/>
        <v>0</v>
      </c>
      <c r="F29" s="96">
        <f t="shared" si="7"/>
        <v>0</v>
      </c>
      <c r="G29" s="96">
        <f t="shared" si="7"/>
        <v>0</v>
      </c>
      <c r="H29" s="96">
        <f t="shared" si="7"/>
        <v>0</v>
      </c>
      <c r="I29" s="96">
        <f t="shared" si="7"/>
        <v>0</v>
      </c>
      <c r="J29" s="347"/>
      <c r="K29" s="122">
        <f>-INDEX('Income Statement'!$J$7:$N$37,MATCH($B29,'Income Statement'!$J$7:$J$37,0),MATCH($M$2,'Income Statement'!$J$7:$N$7,0))</f>
        <v>0</v>
      </c>
      <c r="M29" s="112"/>
    </row>
    <row r="30" spans="1:13" x14ac:dyDescent="0.25">
      <c r="B30" s="10" t="s">
        <v>111</v>
      </c>
      <c r="C30" s="96">
        <f t="shared" si="7"/>
        <v>0</v>
      </c>
      <c r="D30" s="96">
        <f t="shared" si="7"/>
        <v>0</v>
      </c>
      <c r="E30" s="96">
        <f t="shared" si="7"/>
        <v>0</v>
      </c>
      <c r="F30" s="96">
        <f t="shared" si="7"/>
        <v>0</v>
      </c>
      <c r="G30" s="96">
        <f t="shared" si="7"/>
        <v>0</v>
      </c>
      <c r="H30" s="96">
        <f t="shared" si="7"/>
        <v>0</v>
      </c>
      <c r="I30" s="96">
        <f t="shared" si="7"/>
        <v>0</v>
      </c>
      <c r="J30" s="347"/>
      <c r="K30" s="122">
        <f>-INDEX('Income Statement'!$J$7:$N$37,MATCH($B30,'Income Statement'!$J$7:$J$37,0),MATCH($M$2,'Income Statement'!$J$7:$N$7,0))</f>
        <v>0</v>
      </c>
      <c r="M30" s="112"/>
    </row>
    <row r="31" spans="1:13" x14ac:dyDescent="0.25">
      <c r="B31" s="10" t="s">
        <v>112</v>
      </c>
      <c r="C31" s="96">
        <f t="shared" si="7"/>
        <v>0</v>
      </c>
      <c r="D31" s="96">
        <f t="shared" si="7"/>
        <v>0</v>
      </c>
      <c r="E31" s="96">
        <f t="shared" si="7"/>
        <v>0</v>
      </c>
      <c r="F31" s="96">
        <f t="shared" si="7"/>
        <v>0</v>
      </c>
      <c r="G31" s="96">
        <f t="shared" si="7"/>
        <v>0</v>
      </c>
      <c r="H31" s="96">
        <f t="shared" si="7"/>
        <v>0</v>
      </c>
      <c r="I31" s="96">
        <f t="shared" si="7"/>
        <v>0</v>
      </c>
      <c r="J31" s="347"/>
      <c r="K31" s="122">
        <f>-INDEX('Income Statement'!$J$7:$N$37,MATCH($B31,'Income Statement'!$J$7:$J$37,0),MATCH($M$2,'Income Statement'!$J$7:$N$7,0))</f>
        <v>0</v>
      </c>
      <c r="M31" s="112"/>
    </row>
    <row r="32" spans="1:13" x14ac:dyDescent="0.25">
      <c r="B32" s="10" t="s">
        <v>135</v>
      </c>
      <c r="C32" s="96">
        <f t="shared" si="7"/>
        <v>0</v>
      </c>
      <c r="D32" s="96">
        <f t="shared" si="7"/>
        <v>0</v>
      </c>
      <c r="E32" s="96">
        <f t="shared" si="7"/>
        <v>0</v>
      </c>
      <c r="F32" s="96">
        <f t="shared" si="7"/>
        <v>0</v>
      </c>
      <c r="G32" s="96">
        <f t="shared" si="7"/>
        <v>0</v>
      </c>
      <c r="H32" s="96">
        <f t="shared" si="7"/>
        <v>0</v>
      </c>
      <c r="I32" s="96">
        <f t="shared" si="7"/>
        <v>0</v>
      </c>
      <c r="J32" s="347"/>
      <c r="K32" s="122">
        <f>-INDEX('Income Statement'!$J$7:$N$37,MATCH($B32,'Income Statement'!$J$7:$J$37,0),MATCH($M$2,'Income Statement'!$J$7:$N$7,0))</f>
        <v>0</v>
      </c>
      <c r="M32" s="112"/>
    </row>
    <row r="33" spans="2:13" x14ac:dyDescent="0.25">
      <c r="C33" s="96"/>
      <c r="D33" s="96"/>
      <c r="E33" s="96"/>
      <c r="F33" s="96"/>
      <c r="G33" s="96"/>
      <c r="H33" s="96"/>
      <c r="I33" s="96"/>
      <c r="J33" s="347"/>
      <c r="K33" s="122"/>
      <c r="M33" s="112"/>
    </row>
    <row r="34" spans="2:13" s="11" customFormat="1" x14ac:dyDescent="0.25">
      <c r="B34" s="11" t="s">
        <v>269</v>
      </c>
      <c r="C34" s="344">
        <f t="shared" ref="C34:I34" si="8">+$K34*C$7</f>
        <v>-13447.540351328349</v>
      </c>
      <c r="D34" s="344">
        <f t="shared" si="8"/>
        <v>-221884.41579691778</v>
      </c>
      <c r="E34" s="344">
        <f t="shared" si="8"/>
        <v>-221884.41579691778</v>
      </c>
      <c r="F34" s="344">
        <f t="shared" si="8"/>
        <v>-221884.41579691778</v>
      </c>
      <c r="G34" s="344">
        <f t="shared" si="8"/>
        <v>-221884.41579691778</v>
      </c>
      <c r="H34" s="344">
        <f t="shared" si="8"/>
        <v>-221884.41579691778</v>
      </c>
      <c r="I34" s="344">
        <f t="shared" si="8"/>
        <v>-221884.41579691778</v>
      </c>
      <c r="J34" s="345"/>
      <c r="K34" s="353">
        <f>SUM(K23:K33)</f>
        <v>-1344754.0351328349</v>
      </c>
      <c r="M34" s="352"/>
    </row>
    <row r="35" spans="2:13" x14ac:dyDescent="0.25">
      <c r="C35" s="96"/>
      <c r="D35" s="96"/>
      <c r="E35" s="96"/>
      <c r="F35" s="96"/>
      <c r="G35" s="96"/>
      <c r="H35" s="96"/>
      <c r="I35" s="96"/>
      <c r="J35" s="347"/>
      <c r="K35" s="122"/>
      <c r="M35" s="112"/>
    </row>
    <row r="36" spans="2:13" s="11" customFormat="1" x14ac:dyDescent="0.25">
      <c r="B36" s="11" t="s">
        <v>55</v>
      </c>
      <c r="C36" s="344">
        <f t="shared" ref="C36:I36" si="9">+$K36*C$7</f>
        <v>-7449.8385946866038</v>
      </c>
      <c r="D36" s="344">
        <f t="shared" si="9"/>
        <v>-122922.33681232895</v>
      </c>
      <c r="E36" s="344">
        <f t="shared" si="9"/>
        <v>-122922.33681232895</v>
      </c>
      <c r="F36" s="344">
        <f t="shared" si="9"/>
        <v>-122922.33681232895</v>
      </c>
      <c r="G36" s="344">
        <f t="shared" si="9"/>
        <v>-122922.33681232895</v>
      </c>
      <c r="H36" s="344">
        <f t="shared" si="9"/>
        <v>-122922.33681232895</v>
      </c>
      <c r="I36" s="344">
        <f t="shared" si="9"/>
        <v>-122922.33681232895</v>
      </c>
      <c r="J36" s="345"/>
      <c r="K36" s="344">
        <f>+K21+K34</f>
        <v>-744983.85946866032</v>
      </c>
      <c r="M36" s="352" t="s">
        <v>165</v>
      </c>
    </row>
    <row r="37" spans="2:13" x14ac:dyDescent="0.25">
      <c r="C37" s="96"/>
      <c r="D37" s="96"/>
      <c r="E37" s="96"/>
      <c r="F37" s="96"/>
      <c r="G37" s="96"/>
      <c r="H37" s="96"/>
      <c r="I37" s="96"/>
      <c r="J37" s="347"/>
      <c r="K37" s="122"/>
      <c r="M37" s="112"/>
    </row>
    <row r="38" spans="2:13" x14ac:dyDescent="0.25">
      <c r="B38" s="10" t="s">
        <v>451</v>
      </c>
      <c r="C38" s="96">
        <f t="shared" ref="C38:I39" si="10">+$K38*C$7</f>
        <v>46000</v>
      </c>
      <c r="D38" s="96">
        <f t="shared" si="10"/>
        <v>759000</v>
      </c>
      <c r="E38" s="96">
        <f t="shared" si="10"/>
        <v>759000</v>
      </c>
      <c r="F38" s="96">
        <f t="shared" si="10"/>
        <v>759000</v>
      </c>
      <c r="G38" s="96">
        <f t="shared" si="10"/>
        <v>759000</v>
      </c>
      <c r="H38" s="96">
        <f t="shared" si="10"/>
        <v>759000</v>
      </c>
      <c r="I38" s="96">
        <f t="shared" si="10"/>
        <v>759000</v>
      </c>
      <c r="J38" s="347"/>
      <c r="K38" s="122">
        <f>+INDEX('Income Statement'!$J$7:$N$37,MATCH($B38,'Income Statement'!$J$7:$J$37,0),MATCH($M$2,'Income Statement'!$J$7:$N$7,0))</f>
        <v>4600000</v>
      </c>
      <c r="M38" s="112" t="s">
        <v>166</v>
      </c>
    </row>
    <row r="39" spans="2:13" x14ac:dyDescent="0.25">
      <c r="B39" s="10" t="s">
        <v>57</v>
      </c>
      <c r="C39" s="96">
        <f t="shared" si="10"/>
        <v>10000</v>
      </c>
      <c r="D39" s="96">
        <f t="shared" si="10"/>
        <v>165000</v>
      </c>
      <c r="E39" s="96">
        <f t="shared" si="10"/>
        <v>165000</v>
      </c>
      <c r="F39" s="96">
        <f t="shared" si="10"/>
        <v>165000</v>
      </c>
      <c r="G39" s="96">
        <f t="shared" si="10"/>
        <v>165000</v>
      </c>
      <c r="H39" s="96">
        <f t="shared" si="10"/>
        <v>165000</v>
      </c>
      <c r="I39" s="96">
        <f t="shared" si="10"/>
        <v>165000</v>
      </c>
      <c r="J39" s="347"/>
      <c r="K39" s="122">
        <f>+INDEX('Income Statement'!$J$7:$N$37,MATCH($B39,'Income Statement'!$J$7:$J$37,0),MATCH($M$2,'Income Statement'!$J$7:$N$7,0))</f>
        <v>1000000</v>
      </c>
      <c r="M39" s="112" t="s">
        <v>167</v>
      </c>
    </row>
    <row r="40" spans="2:13" x14ac:dyDescent="0.25">
      <c r="C40" s="96"/>
      <c r="D40" s="96"/>
      <c r="E40" s="96"/>
      <c r="F40" s="96"/>
      <c r="G40" s="96"/>
      <c r="H40" s="96"/>
      <c r="I40" s="96"/>
      <c r="J40" s="347"/>
      <c r="K40" s="122"/>
      <c r="M40" s="112"/>
    </row>
    <row r="41" spans="2:13" x14ac:dyDescent="0.25">
      <c r="B41" s="10" t="s">
        <v>58</v>
      </c>
      <c r="C41" s="344">
        <f t="shared" ref="C41:H41" si="11">+$K41*C$7</f>
        <v>56000</v>
      </c>
      <c r="D41" s="344">
        <f t="shared" si="11"/>
        <v>924000</v>
      </c>
      <c r="E41" s="344">
        <f t="shared" si="11"/>
        <v>924000</v>
      </c>
      <c r="F41" s="344">
        <f t="shared" si="11"/>
        <v>924000</v>
      </c>
      <c r="G41" s="344">
        <f t="shared" si="11"/>
        <v>924000</v>
      </c>
      <c r="H41" s="344">
        <f t="shared" si="11"/>
        <v>924000</v>
      </c>
      <c r="I41" s="344">
        <f t="shared" ref="I41:I46" si="12">+$K41*I$7</f>
        <v>924000</v>
      </c>
      <c r="J41" s="345"/>
      <c r="K41" s="353">
        <f>+K39+K38</f>
        <v>5600000</v>
      </c>
      <c r="M41" s="112"/>
    </row>
    <row r="42" spans="2:13" x14ac:dyDescent="0.25">
      <c r="C42" s="345"/>
      <c r="D42" s="345"/>
      <c r="E42" s="345"/>
      <c r="F42" s="345"/>
      <c r="G42" s="345"/>
      <c r="H42" s="345"/>
      <c r="I42" s="345"/>
      <c r="J42" s="345"/>
      <c r="K42" s="345"/>
      <c r="M42" s="112"/>
    </row>
    <row r="43" spans="2:13" x14ac:dyDescent="0.25">
      <c r="C43" s="345"/>
      <c r="D43" s="345"/>
      <c r="E43" s="345"/>
      <c r="F43" s="345"/>
      <c r="G43" s="345"/>
      <c r="H43" s="345"/>
      <c r="I43" s="345"/>
      <c r="J43" s="345"/>
      <c r="K43" s="345"/>
      <c r="M43" s="112"/>
    </row>
    <row r="44" spans="2:13" x14ac:dyDescent="0.25">
      <c r="B44" s="11" t="s">
        <v>59</v>
      </c>
      <c r="C44" s="344">
        <f t="shared" ref="C44:H44" si="13">+$K44*C$7</f>
        <v>48550.161405313396</v>
      </c>
      <c r="D44" s="344">
        <f t="shared" si="13"/>
        <v>801077.6631876711</v>
      </c>
      <c r="E44" s="344">
        <f t="shared" si="13"/>
        <v>801077.6631876711</v>
      </c>
      <c r="F44" s="344">
        <f t="shared" si="13"/>
        <v>801077.6631876711</v>
      </c>
      <c r="G44" s="344">
        <f t="shared" si="13"/>
        <v>801077.6631876711</v>
      </c>
      <c r="H44" s="344">
        <f t="shared" si="13"/>
        <v>801077.6631876711</v>
      </c>
      <c r="I44" s="344">
        <f t="shared" si="12"/>
        <v>801077.6631876711</v>
      </c>
      <c r="J44" s="347"/>
      <c r="K44" s="344">
        <f>+K21+K34+K41</f>
        <v>4855016.1405313397</v>
      </c>
      <c r="M44" s="112"/>
    </row>
    <row r="45" spans="2:13" x14ac:dyDescent="0.25">
      <c r="B45" s="11"/>
      <c r="C45" s="96"/>
      <c r="D45" s="96"/>
      <c r="E45" s="96"/>
      <c r="F45" s="96"/>
      <c r="G45" s="96"/>
      <c r="H45" s="96"/>
      <c r="I45" s="96"/>
      <c r="J45" s="347"/>
      <c r="K45" s="122"/>
      <c r="M45" s="112"/>
    </row>
    <row r="46" spans="2:13" s="11" customFormat="1" ht="16.5" thickBot="1" x14ac:dyDescent="0.3">
      <c r="B46" s="11" t="s">
        <v>268</v>
      </c>
      <c r="C46" s="346">
        <f t="shared" ref="C46:H46" si="14">+$K46*C$7</f>
        <v>97411.830504584199</v>
      </c>
      <c r="D46" s="346">
        <f t="shared" si="14"/>
        <v>1607295.2033256395</v>
      </c>
      <c r="E46" s="346">
        <f t="shared" si="14"/>
        <v>1607295.2033256395</v>
      </c>
      <c r="F46" s="346">
        <f t="shared" si="14"/>
        <v>1607295.2033256395</v>
      </c>
      <c r="G46" s="346">
        <f t="shared" si="14"/>
        <v>1607295.2033256395</v>
      </c>
      <c r="H46" s="346">
        <f t="shared" si="14"/>
        <v>1607295.2033256395</v>
      </c>
      <c r="I46" s="346">
        <f t="shared" si="12"/>
        <v>1607295.2033256395</v>
      </c>
      <c r="J46" s="349"/>
      <c r="K46" s="346">
        <f>+K44+K15</f>
        <v>9741183.0504584201</v>
      </c>
      <c r="L46" s="350">
        <f>+K46-'Changes in Partners'' Capital'!H15</f>
        <v>0</v>
      </c>
      <c r="M46" s="52"/>
    </row>
    <row r="47" spans="2:13" s="11" customFormat="1" ht="17.25" thickTop="1" thickBot="1" x14ac:dyDescent="0.3">
      <c r="B47" s="11" t="s">
        <v>267</v>
      </c>
      <c r="C47" s="346">
        <f t="shared" ref="C47:I47" si="15">+C46-C23-C24</f>
        <v>108799.37085591255</v>
      </c>
      <c r="D47" s="346">
        <f t="shared" si="15"/>
        <v>1795189.6191225573</v>
      </c>
      <c r="E47" s="346">
        <f t="shared" si="15"/>
        <v>1795189.6191225573</v>
      </c>
      <c r="F47" s="346">
        <f t="shared" si="15"/>
        <v>1795189.6191225573</v>
      </c>
      <c r="G47" s="346">
        <f t="shared" si="15"/>
        <v>1795189.6191225573</v>
      </c>
      <c r="H47" s="346">
        <f t="shared" si="15"/>
        <v>1795189.6191225573</v>
      </c>
      <c r="I47" s="346">
        <f t="shared" si="15"/>
        <v>1795189.6191225573</v>
      </c>
      <c r="J47" s="349"/>
      <c r="K47" s="346">
        <f>+K46-K23-K24</f>
        <v>10879937.085591255</v>
      </c>
      <c r="M47" s="52"/>
    </row>
    <row r="48" spans="2:13" ht="16.5" thickTop="1" x14ac:dyDescent="0.25">
      <c r="D48" s="351"/>
    </row>
    <row r="49" spans="2:3" x14ac:dyDescent="0.25">
      <c r="B49" s="10" t="s">
        <v>722</v>
      </c>
      <c r="C49" s="351">
        <f>+C46-K24</f>
        <v>936165.86563741916</v>
      </c>
    </row>
    <row r="51" spans="2:3" x14ac:dyDescent="0.25">
      <c r="B51" s="10" t="s">
        <v>500</v>
      </c>
    </row>
    <row r="52" spans="2:3" x14ac:dyDescent="0.25">
      <c r="B52" s="10" t="s">
        <v>485</v>
      </c>
    </row>
    <row r="53" spans="2:3" x14ac:dyDescent="0.25">
      <c r="B53" s="10" t="s">
        <v>486</v>
      </c>
    </row>
    <row r="54" spans="2:3" x14ac:dyDescent="0.25">
      <c r="B54" s="10" t="s">
        <v>487</v>
      </c>
    </row>
    <row r="55" spans="2:3" x14ac:dyDescent="0.25">
      <c r="B55" s="10" t="s">
        <v>488</v>
      </c>
    </row>
    <row r="56" spans="2:3" x14ac:dyDescent="0.25">
      <c r="B56" s="10" t="s">
        <v>489</v>
      </c>
    </row>
    <row r="57" spans="2:3" x14ac:dyDescent="0.25">
      <c r="B57" s="10" t="s">
        <v>490</v>
      </c>
    </row>
    <row r="58" spans="2:3" x14ac:dyDescent="0.25">
      <c r="B58" s="10" t="s">
        <v>491</v>
      </c>
    </row>
    <row r="59" spans="2:3" x14ac:dyDescent="0.25">
      <c r="B59" s="10" t="s">
        <v>492</v>
      </c>
    </row>
    <row r="60" spans="2:3" x14ac:dyDescent="0.25">
      <c r="B60" s="10" t="s">
        <v>493</v>
      </c>
    </row>
    <row r="61" spans="2:3" x14ac:dyDescent="0.25">
      <c r="B61" s="10" t="s">
        <v>494</v>
      </c>
    </row>
    <row r="62" spans="2:3" x14ac:dyDescent="0.25">
      <c r="B62" s="10" t="s">
        <v>495</v>
      </c>
    </row>
    <row r="63" spans="2:3" x14ac:dyDescent="0.25">
      <c r="B63" s="10" t="s">
        <v>496</v>
      </c>
    </row>
    <row r="64" spans="2:3" x14ac:dyDescent="0.25">
      <c r="B64" s="10" t="s">
        <v>497</v>
      </c>
    </row>
    <row r="65" spans="2:2" x14ac:dyDescent="0.25">
      <c r="B65" s="10" t="s">
        <v>498</v>
      </c>
    </row>
    <row r="66" spans="2:2" x14ac:dyDescent="0.25">
      <c r="B66" s="10" t="s">
        <v>499</v>
      </c>
    </row>
    <row r="68" spans="2:2" x14ac:dyDescent="0.25">
      <c r="B68" s="374" t="s">
        <v>521</v>
      </c>
    </row>
    <row r="69" spans="2:2" ht="31.5" x14ac:dyDescent="0.25">
      <c r="B69" s="437" t="s">
        <v>503</v>
      </c>
    </row>
    <row r="70" spans="2:2" ht="78.75" x14ac:dyDescent="0.25">
      <c r="B70" s="438" t="s">
        <v>504</v>
      </c>
    </row>
    <row r="71" spans="2:2" ht="78.75" x14ac:dyDescent="0.25">
      <c r="B71" s="438" t="s">
        <v>505</v>
      </c>
    </row>
    <row r="72" spans="2:2" ht="31.5" x14ac:dyDescent="0.25">
      <c r="B72" s="437" t="s">
        <v>506</v>
      </c>
    </row>
    <row r="73" spans="2:2" ht="94.5" x14ac:dyDescent="0.25">
      <c r="B73" s="438" t="s">
        <v>507</v>
      </c>
    </row>
    <row r="74" spans="2:2" x14ac:dyDescent="0.25">
      <c r="B74" s="437" t="s">
        <v>508</v>
      </c>
    </row>
    <row r="75" spans="2:2" ht="63" x14ac:dyDescent="0.25">
      <c r="B75" s="438" t="s">
        <v>509</v>
      </c>
    </row>
    <row r="76" spans="2:2" ht="78.75" x14ac:dyDescent="0.25">
      <c r="B76" s="438" t="s">
        <v>510</v>
      </c>
    </row>
    <row r="77" spans="2:2" x14ac:dyDescent="0.25">
      <c r="B77" s="437" t="s">
        <v>511</v>
      </c>
    </row>
    <row r="78" spans="2:2" ht="47.25" x14ac:dyDescent="0.25">
      <c r="B78" s="438" t="s">
        <v>512</v>
      </c>
    </row>
    <row r="79" spans="2:2" ht="31.5" x14ac:dyDescent="0.25">
      <c r="B79" s="438" t="s">
        <v>513</v>
      </c>
    </row>
    <row r="80" spans="2:2" ht="47.25" x14ac:dyDescent="0.25">
      <c r="B80" s="438" t="s">
        <v>514</v>
      </c>
    </row>
    <row r="81" spans="2:2" ht="31.5" x14ac:dyDescent="0.25">
      <c r="B81" s="437" t="s">
        <v>515</v>
      </c>
    </row>
    <row r="82" spans="2:2" ht="63" x14ac:dyDescent="0.25">
      <c r="B82" s="438" t="s">
        <v>516</v>
      </c>
    </row>
    <row r="83" spans="2:2" ht="78.75" x14ac:dyDescent="0.25">
      <c r="B83" s="438" t="s">
        <v>517</v>
      </c>
    </row>
    <row r="84" spans="2:2" x14ac:dyDescent="0.25">
      <c r="B84" s="437" t="s">
        <v>518</v>
      </c>
    </row>
    <row r="85" spans="2:2" ht="141.75" x14ac:dyDescent="0.25">
      <c r="B85" s="438" t="s">
        <v>519</v>
      </c>
    </row>
    <row r="86" spans="2:2" x14ac:dyDescent="0.25">
      <c r="B86" s="374" t="s">
        <v>520</v>
      </c>
    </row>
  </sheetData>
  <phoneticPr fontId="30" type="noConversion"/>
  <pageMargins left="0.7" right="0.7" top="0.75" bottom="0.75" header="0.3" footer="0.3"/>
  <pageSetup paperSize="9" scale="48" orientation="portrait" r:id="rId1"/>
  <colBreaks count="1" manualBreakCount="1">
    <brk id="11"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9E805-4E1D-4731-9D2F-2E9C64856CD0}">
  <sheetPr>
    <tabColor theme="4" tint="0.79998168889431442"/>
  </sheetPr>
  <dimension ref="B1:O31"/>
  <sheetViews>
    <sheetView showGridLines="0" view="pageBreakPreview" zoomScaleNormal="100" zoomScaleSheetLayoutView="100" workbookViewId="0">
      <selection activeCell="D15" sqref="D15"/>
    </sheetView>
  </sheetViews>
  <sheetFormatPr defaultRowHeight="15.75" x14ac:dyDescent="0.25"/>
  <cols>
    <col min="1" max="1" width="1.42578125" style="10" customWidth="1"/>
    <col min="2" max="2" width="9.140625" style="10"/>
    <col min="3" max="3" width="50" style="11" bestFit="1" customWidth="1"/>
    <col min="4" max="4" width="15.5703125" style="10" bestFit="1" customWidth="1"/>
    <col min="5" max="5" width="16.140625" style="10" bestFit="1" customWidth="1"/>
    <col min="6" max="6" width="17.140625" style="10" customWidth="1"/>
    <col min="7" max="7" width="10.42578125" style="10" bestFit="1" customWidth="1"/>
    <col min="8" max="8" width="7" style="10" customWidth="1"/>
    <col min="9" max="16384" width="9.140625" style="10"/>
  </cols>
  <sheetData>
    <row r="1" spans="2:15" s="31" customFormat="1" ht="11.25" customHeight="1" x14ac:dyDescent="0.25">
      <c r="B1" s="36"/>
      <c r="C1" s="32"/>
      <c r="H1" s="31" t="s">
        <v>273</v>
      </c>
      <c r="I1" s="31" t="s">
        <v>720</v>
      </c>
      <c r="L1" s="10"/>
      <c r="M1" s="10"/>
      <c r="N1" s="10"/>
      <c r="O1" s="10"/>
    </row>
    <row r="3" spans="2:15" s="11" customFormat="1" x14ac:dyDescent="0.25">
      <c r="D3" s="51" t="str">
        <f>+'FS Cover'!E4</f>
        <v>Good Practices Fund I, L.P.</v>
      </c>
    </row>
    <row r="4" spans="2:15" s="11" customFormat="1" x14ac:dyDescent="0.25">
      <c r="D4" s="51" t="s">
        <v>170</v>
      </c>
      <c r="I4" s="11" t="s">
        <v>719</v>
      </c>
    </row>
    <row r="5" spans="2:15" s="11" customFormat="1" x14ac:dyDescent="0.25">
      <c r="D5" s="51" t="str">
        <f>+'Balance Sheet'!C5</f>
        <v>For the Year Ended December 31, 2024</v>
      </c>
      <c r="I5" s="10" t="s">
        <v>522</v>
      </c>
    </row>
    <row r="6" spans="2:15" x14ac:dyDescent="0.25">
      <c r="I6" s="11" t="str" cm="1">
        <f t="array" ref="I6:I12">TRANSPOSE(_xlfn.UNIQUE('Investor Allocations'!C4:I4))</f>
        <v>GP</v>
      </c>
    </row>
    <row r="7" spans="2:15" s="11" customFormat="1" x14ac:dyDescent="0.25">
      <c r="D7" s="358" t="str">
        <f>I6</f>
        <v>GP</v>
      </c>
      <c r="E7" s="358" t="str">
        <f>H1</f>
        <v>LP5</v>
      </c>
      <c r="F7" s="358" t="s">
        <v>41</v>
      </c>
      <c r="I7" s="11" t="str">
        <v>LP1</v>
      </c>
    </row>
    <row r="8" spans="2:15" s="11" customFormat="1" x14ac:dyDescent="0.25">
      <c r="C8" s="11" t="s">
        <v>501</v>
      </c>
      <c r="D8" s="354">
        <f>INDEX('Investor Allocations'!$C$4:$M$47,MATCH($C8,'Investor Allocations'!$M$4:$M$47,0),MATCH(D$7,'Investor Allocations'!$C$4:$M$4,0))</f>
        <v>0.01</v>
      </c>
      <c r="E8" s="354">
        <f>INDEX('Investor Allocations'!$C$4:$M$47,MATCH($C8,'Investor Allocations'!$M$4:$M$47,0),MATCH(E$7,'Investor Allocations'!$C$4:$M$4,0))</f>
        <v>0.16500000000000001</v>
      </c>
      <c r="F8" s="354">
        <f>INDEX('Investor Allocations'!$C$4:$M$47,MATCH($C8,'Investor Allocations'!$M$4:$M$47,0),MATCH(F$7,'Investor Allocations'!$C$4:$M$4,0))</f>
        <v>1</v>
      </c>
      <c r="I8" s="10" t="str">
        <v>LP2</v>
      </c>
    </row>
    <row r="9" spans="2:15" x14ac:dyDescent="0.25">
      <c r="C9" s="11" t="s">
        <v>162</v>
      </c>
      <c r="D9" s="355">
        <v>0</v>
      </c>
      <c r="E9" s="355">
        <v>0</v>
      </c>
      <c r="F9" s="355">
        <v>0</v>
      </c>
      <c r="I9" s="10" t="str">
        <v>LP3</v>
      </c>
    </row>
    <row r="10" spans="2:15" x14ac:dyDescent="0.25">
      <c r="D10" s="354"/>
      <c r="E10" s="354"/>
      <c r="F10" s="354"/>
      <c r="I10" s="10" t="str">
        <v>LP4</v>
      </c>
    </row>
    <row r="11" spans="2:15" x14ac:dyDescent="0.25">
      <c r="C11" s="11" t="s">
        <v>163</v>
      </c>
      <c r="D11" s="355">
        <f>INDEX('Investor Allocations'!$C$4:$M$47,MATCH($C11,'Investor Allocations'!$M$4:$M$47,0),MATCH(D$7,'Investor Allocations'!$C$4:$M$4,0))</f>
        <v>150000</v>
      </c>
      <c r="E11" s="355">
        <f>INDEX('Investor Allocations'!$C$4:$M$47,MATCH($C11,'Investor Allocations'!$M$4:$M$47,0),MATCH(E$7,'Investor Allocations'!$C$4:$M$4,0))</f>
        <v>2475000</v>
      </c>
      <c r="F11" s="355">
        <f>INDEX('Investor Allocations'!$C$4:$M$47,MATCH($C11,'Investor Allocations'!$M$4:$M$47,0),MATCH(F$7,'Investor Allocations'!$C$4:$M$4,0))</f>
        <v>15000000</v>
      </c>
      <c r="I11" s="10" t="str">
        <v>LP5</v>
      </c>
    </row>
    <row r="12" spans="2:15" x14ac:dyDescent="0.25">
      <c r="D12" s="355"/>
      <c r="E12" s="355"/>
      <c r="F12" s="355"/>
      <c r="I12" s="10" t="str">
        <v>LP6</v>
      </c>
    </row>
    <row r="13" spans="2:15" x14ac:dyDescent="0.25">
      <c r="C13" s="11" t="s">
        <v>164</v>
      </c>
      <c r="D13" s="355">
        <f>INDEX('Investor Allocations'!$C$4:$M$47,MATCH($C13,'Investor Allocations'!$M$4:$M$47,0),MATCH(D$7,'Investor Allocations'!$C$4:$M$4,0))</f>
        <v>-101138.33090072921</v>
      </c>
      <c r="E13" s="355">
        <f>INDEX('Investor Allocations'!$C$4:$M$47,MATCH($C13,'Investor Allocations'!$M$4:$M$47,0),MATCH(E$7,'Investor Allocations'!$C$4:$M$4,0))</f>
        <v>-1668782.459862032</v>
      </c>
      <c r="F13" s="355">
        <f>INDEX('Investor Allocations'!$C$4:$M$47,MATCH($C13,'Investor Allocations'!$M$4:$M$47,0),MATCH(F$7,'Investor Allocations'!$C$4:$M$4,0))</f>
        <v>-10113833.090072921</v>
      </c>
    </row>
    <row r="14" spans="2:15" x14ac:dyDescent="0.25">
      <c r="D14" s="355"/>
      <c r="E14" s="355"/>
      <c r="F14" s="355"/>
    </row>
    <row r="15" spans="2:15" x14ac:dyDescent="0.25">
      <c r="C15" s="11" t="s">
        <v>165</v>
      </c>
      <c r="D15" s="355">
        <f>INDEX('Investor Allocations'!$C$4:$M$47,MATCH($C15,'Investor Allocations'!$M$4:$M$47,0),MATCH(D$7,'Investor Allocations'!$C$4:$M$4,0))-'Investor Allocations'!C24</f>
        <v>937.70175664174531</v>
      </c>
      <c r="E15" s="355">
        <f>INDEX('Investor Allocations'!$C$4:$M$47,MATCH($C15,'Investor Allocations'!$M$4:$M$47,0),MATCH(E$7,'Investor Allocations'!$C$4:$M$4,0))-E21</f>
        <v>15472.078984588821</v>
      </c>
      <c r="F15" s="355">
        <f>INDEX('Investor Allocations'!$C$4:$M$47,MATCH($C15,'Investor Allocations'!$M$4:$M$47,0),MATCH(F$7,'Investor Allocations'!$C$4:$M$4,0))</f>
        <v>-744983.85946866032</v>
      </c>
    </row>
    <row r="16" spans="2:15" x14ac:dyDescent="0.25">
      <c r="D16" s="355"/>
      <c r="E16" s="355"/>
      <c r="F16" s="355"/>
    </row>
    <row r="17" spans="3:8" x14ac:dyDescent="0.25">
      <c r="C17" s="11" t="s">
        <v>166</v>
      </c>
      <c r="D17" s="355">
        <f>INDEX('Investor Allocations'!$C$4:$M$47,MATCH($C17,'Investor Allocations'!$M$4:$M$47,0),MATCH(D$7,'Investor Allocations'!$C$4:$M$4,0))</f>
        <v>46000</v>
      </c>
      <c r="E17" s="355">
        <f>INDEX('Investor Allocations'!$C$4:$M$47,MATCH($C17,'Investor Allocations'!$M$4:$M$47,0),MATCH(E$7,'Investor Allocations'!$C$4:$M$4,0))</f>
        <v>759000</v>
      </c>
      <c r="F17" s="355">
        <f>INDEX('Investor Allocations'!$C$4:$M$47,MATCH($C17,'Investor Allocations'!$M$4:$M$47,0),MATCH(F$7,'Investor Allocations'!$C$4:$M$4,0))</f>
        <v>4600000</v>
      </c>
    </row>
    <row r="18" spans="3:8" x14ac:dyDescent="0.25">
      <c r="D18" s="355"/>
      <c r="E18" s="355"/>
      <c r="F18" s="355"/>
    </row>
    <row r="19" spans="3:8" x14ac:dyDescent="0.25">
      <c r="C19" s="11" t="s">
        <v>167</v>
      </c>
      <c r="D19" s="355">
        <f>INDEX('Investor Allocations'!$C$4:$M$47,MATCH($C19,'Investor Allocations'!$M$4:$M$47,0),MATCH(D$7,'Investor Allocations'!$C$4:$M$4,0))</f>
        <v>10000</v>
      </c>
      <c r="E19" s="355">
        <f>INDEX('Investor Allocations'!$C$4:$M$47,MATCH($C19,'Investor Allocations'!$M$4:$M$47,0),MATCH(E$7,'Investor Allocations'!$C$4:$M$4,0))</f>
        <v>165000</v>
      </c>
      <c r="F19" s="355">
        <f>INDEX('Investor Allocations'!$C$4:$M$47,MATCH($C19,'Investor Allocations'!$M$4:$M$47,0),MATCH(F$7,'Investor Allocations'!$C$4:$M$4,0))</f>
        <v>1000000</v>
      </c>
    </row>
    <row r="20" spans="3:8" x14ac:dyDescent="0.25">
      <c r="D20" s="355"/>
      <c r="E20" s="355"/>
      <c r="F20" s="355"/>
    </row>
    <row r="21" spans="3:8" x14ac:dyDescent="0.25">
      <c r="C21" s="11" t="s">
        <v>168</v>
      </c>
      <c r="D21" s="551">
        <f>-'Investor Allocations'!K24*'Business Plan'!D30</f>
        <v>830366.4947815066</v>
      </c>
      <c r="E21" s="552">
        <f>INDEX('Investor Allocations'!$C$4:$M$47,MATCH($C21,'Investor Allocations'!$M$4:$M$47,0),MATCH(E$7,'Investor Allocations'!$C$4:$M$4,0))</f>
        <v>-138394.41579691778</v>
      </c>
      <c r="F21" s="552"/>
    </row>
    <row r="22" spans="3:8" x14ac:dyDescent="0.25">
      <c r="D22" s="355"/>
      <c r="E22" s="355"/>
      <c r="F22" s="355"/>
    </row>
    <row r="23" spans="3:8" x14ac:dyDescent="0.25">
      <c r="C23" s="11" t="s">
        <v>169</v>
      </c>
      <c r="D23" s="355">
        <f t="shared" ref="D23:E23" si="0">SUM(D11:D22)</f>
        <v>936165.86563741916</v>
      </c>
      <c r="E23" s="355">
        <f t="shared" si="0"/>
        <v>1607295.203325639</v>
      </c>
      <c r="F23" s="355">
        <f>SUM(F11:F22)</f>
        <v>9741183.0504584201</v>
      </c>
      <c r="G23" s="487">
        <f>+D23-'Investor Allocations'!C49</f>
        <v>0</v>
      </c>
    </row>
    <row r="24" spans="3:8" x14ac:dyDescent="0.25">
      <c r="D24" s="356"/>
      <c r="G24" s="357">
        <f>+'Investor Allocations'!D46-E23</f>
        <v>0</v>
      </c>
      <c r="H24" s="357">
        <f>+'Investor Allocations'!K46-F23</f>
        <v>0</v>
      </c>
    </row>
    <row r="25" spans="3:8" x14ac:dyDescent="0.25">
      <c r="C25" s="10" t="s">
        <v>737</v>
      </c>
      <c r="E25" s="53"/>
      <c r="F25" s="53"/>
    </row>
    <row r="26" spans="3:8" x14ac:dyDescent="0.25">
      <c r="D26" s="53"/>
      <c r="E26" s="53"/>
      <c r="F26" s="53"/>
    </row>
    <row r="28" spans="3:8" x14ac:dyDescent="0.25">
      <c r="C28" s="10" t="s">
        <v>171</v>
      </c>
      <c r="D28" s="56">
        <v>1000</v>
      </c>
    </row>
    <row r="29" spans="3:8" x14ac:dyDescent="0.25">
      <c r="C29" s="10" t="s">
        <v>172</v>
      </c>
      <c r="D29" s="56">
        <f>+F23/D28</f>
        <v>9741.1830504584195</v>
      </c>
    </row>
    <row r="31" spans="3:8" x14ac:dyDescent="0.25">
      <c r="H31" s="188"/>
    </row>
  </sheetData>
  <dataValidations count="1">
    <dataValidation type="list" allowBlank="1" showInputMessage="1" showErrorMessage="1" sqref="H1" xr:uid="{AAD7CE7E-23D2-4EAC-A3C5-6B0F1264D165}">
      <formula1>$I$6:$I$139</formula1>
    </dataValidation>
  </dataValidations>
  <pageMargins left="0.7" right="0.7" top="0.75" bottom="0.75" header="0.3" footer="0.3"/>
  <pageSetup paperSize="9" scale="79" orientation="portrait" r:id="rId1"/>
  <colBreaks count="1" manualBreakCount="1">
    <brk id="6"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450F-ED26-4119-AE64-6EFEA83E481A}">
  <sheetPr>
    <tabColor theme="6" tint="0.79998168889431442"/>
  </sheetPr>
  <dimension ref="B1:R76"/>
  <sheetViews>
    <sheetView showGridLines="0" zoomScale="85" zoomScaleNormal="85" workbookViewId="0">
      <pane xSplit="2" ySplit="3" topLeftCell="C9" activePane="bottomRight" state="frozen"/>
      <selection sqref="A1:XFD1048576"/>
      <selection pane="topRight" sqref="A1:XFD1048576"/>
      <selection pane="bottomLeft" sqref="A1:XFD1048576"/>
      <selection pane="bottomRight" activeCell="C46" sqref="C46"/>
    </sheetView>
  </sheetViews>
  <sheetFormatPr defaultRowHeight="15.75" x14ac:dyDescent="0.25"/>
  <cols>
    <col min="1" max="1" width="1.42578125" style="10" customWidth="1"/>
    <col min="2" max="2" width="16.85546875" style="10" customWidth="1"/>
    <col min="3" max="3" width="55.5703125" style="10" bestFit="1" customWidth="1"/>
    <col min="4" max="4" width="26.7109375" style="10" customWidth="1"/>
    <col min="5" max="5" width="12.7109375" style="10" bestFit="1" customWidth="1"/>
    <col min="6" max="6" width="15" style="10" bestFit="1" customWidth="1"/>
    <col min="7" max="7" width="4.140625" style="10" customWidth="1"/>
    <col min="8" max="8" width="9.140625" style="10"/>
    <col min="9" max="9" width="19" style="10" customWidth="1"/>
    <col min="10" max="11" width="9.140625" style="10"/>
    <col min="12" max="12" width="3.7109375" style="10" customWidth="1"/>
    <col min="13" max="16384" width="9.140625" style="10"/>
  </cols>
  <sheetData>
    <row r="1" spans="2:18" s="31" customFormat="1" ht="11.25" customHeight="1" x14ac:dyDescent="0.25">
      <c r="B1" s="36"/>
      <c r="C1" s="46"/>
      <c r="D1" s="46"/>
      <c r="O1" s="10"/>
      <c r="P1" s="10"/>
      <c r="Q1" s="10"/>
      <c r="R1" s="10"/>
    </row>
    <row r="3" spans="2:18" x14ac:dyDescent="0.25">
      <c r="B3" s="47" t="s">
        <v>3</v>
      </c>
      <c r="C3" s="47" t="s">
        <v>4</v>
      </c>
      <c r="D3" s="48" t="s">
        <v>71</v>
      </c>
      <c r="E3" s="47" t="s">
        <v>125</v>
      </c>
      <c r="F3" s="47" t="s">
        <v>5</v>
      </c>
      <c r="G3" s="11"/>
    </row>
    <row r="4" spans="2:18" x14ac:dyDescent="0.25">
      <c r="B4" s="49">
        <v>1000</v>
      </c>
      <c r="C4" s="49" t="s">
        <v>118</v>
      </c>
      <c r="D4" s="49" t="str">
        <f>+C4</f>
        <v>Investments, at fair value</v>
      </c>
      <c r="E4" s="49" t="s">
        <v>6</v>
      </c>
      <c r="F4" s="49"/>
    </row>
    <row r="5" spans="2:18" x14ac:dyDescent="0.25">
      <c r="B5" s="49">
        <v>1010</v>
      </c>
      <c r="C5" s="49" t="s">
        <v>7</v>
      </c>
      <c r="D5" s="49" t="s">
        <v>421</v>
      </c>
      <c r="E5" s="49" t="s">
        <v>6</v>
      </c>
      <c r="F5" s="49"/>
    </row>
    <row r="6" spans="2:18" x14ac:dyDescent="0.25">
      <c r="B6" s="49">
        <v>1020</v>
      </c>
      <c r="C6" s="49" t="s">
        <v>8</v>
      </c>
      <c r="D6" s="49" t="str">
        <f>+C6</f>
        <v>Interest receivable</v>
      </c>
      <c r="E6" s="49" t="s">
        <v>6</v>
      </c>
      <c r="F6" s="49"/>
    </row>
    <row r="7" spans="2:18" x14ac:dyDescent="0.25">
      <c r="B7" s="49">
        <v>1030</v>
      </c>
      <c r="C7" s="49" t="s">
        <v>9</v>
      </c>
      <c r="D7" s="49" t="str">
        <f>+C7</f>
        <v>Dividends receivable</v>
      </c>
      <c r="E7" s="49" t="s">
        <v>6</v>
      </c>
      <c r="F7" s="49"/>
    </row>
    <row r="8" spans="2:18" x14ac:dyDescent="0.25">
      <c r="B8" s="49">
        <v>1040</v>
      </c>
      <c r="C8" s="49" t="s">
        <v>10</v>
      </c>
      <c r="D8" s="49" t="str">
        <f>+C8</f>
        <v>Due from related parties</v>
      </c>
      <c r="E8" s="49" t="s">
        <v>6</v>
      </c>
      <c r="F8" s="49"/>
    </row>
    <row r="9" spans="2:18" x14ac:dyDescent="0.25">
      <c r="B9" s="49">
        <v>1050</v>
      </c>
      <c r="C9" s="49" t="s">
        <v>11</v>
      </c>
      <c r="D9" s="49" t="s">
        <v>103</v>
      </c>
      <c r="E9" s="49" t="s">
        <v>6</v>
      </c>
      <c r="F9" s="49"/>
    </row>
    <row r="10" spans="2:18" x14ac:dyDescent="0.25">
      <c r="B10" s="49">
        <v>1060</v>
      </c>
      <c r="C10" s="49" t="s">
        <v>42</v>
      </c>
      <c r="D10" s="49" t="s">
        <v>103</v>
      </c>
      <c r="E10" s="49" t="s">
        <v>6</v>
      </c>
      <c r="F10" s="49"/>
    </row>
    <row r="11" spans="2:18" x14ac:dyDescent="0.25">
      <c r="B11" s="49">
        <v>1070</v>
      </c>
      <c r="C11" s="49" t="s">
        <v>13</v>
      </c>
      <c r="D11" s="49" t="str">
        <f>+C11</f>
        <v>Loan/Notes receivable</v>
      </c>
      <c r="E11" s="49" t="s">
        <v>6</v>
      </c>
      <c r="F11" s="49"/>
    </row>
    <row r="12" spans="2:18" x14ac:dyDescent="0.25">
      <c r="B12" s="49">
        <v>1080</v>
      </c>
      <c r="C12" s="49" t="s">
        <v>473</v>
      </c>
      <c r="D12" s="49" t="s">
        <v>80</v>
      </c>
      <c r="E12" s="49" t="s">
        <v>6</v>
      </c>
      <c r="F12" s="49"/>
    </row>
    <row r="13" spans="2:18" x14ac:dyDescent="0.25">
      <c r="B13" s="49">
        <v>1090</v>
      </c>
      <c r="C13" s="49" t="s">
        <v>419</v>
      </c>
      <c r="D13" s="49" t="s">
        <v>419</v>
      </c>
      <c r="E13" s="49" t="s">
        <v>6</v>
      </c>
      <c r="F13" s="49"/>
    </row>
    <row r="14" spans="2:18" x14ac:dyDescent="0.25">
      <c r="B14" s="49">
        <v>1100</v>
      </c>
      <c r="C14" s="49" t="s">
        <v>126</v>
      </c>
      <c r="D14" s="49" t="s">
        <v>126</v>
      </c>
      <c r="E14" s="49" t="s">
        <v>6</v>
      </c>
      <c r="F14" s="49"/>
    </row>
    <row r="15" spans="2:18" x14ac:dyDescent="0.25">
      <c r="B15" s="49">
        <v>1110</v>
      </c>
      <c r="C15" s="49" t="s">
        <v>127</v>
      </c>
      <c r="D15" s="49" t="s">
        <v>419</v>
      </c>
      <c r="E15" s="49" t="s">
        <v>6</v>
      </c>
      <c r="F15" s="49"/>
    </row>
    <row r="16" spans="2:18" x14ac:dyDescent="0.25">
      <c r="B16" s="50">
        <v>2000</v>
      </c>
      <c r="C16" s="50" t="s">
        <v>15</v>
      </c>
      <c r="D16" s="50" t="str">
        <f t="shared" ref="D16:D21" si="0">+C16</f>
        <v>Management fee payable</v>
      </c>
      <c r="E16" s="50" t="s">
        <v>16</v>
      </c>
      <c r="F16" s="50"/>
    </row>
    <row r="17" spans="2:6" x14ac:dyDescent="0.25">
      <c r="B17" s="50">
        <v>2010</v>
      </c>
      <c r="C17" s="50" t="s">
        <v>434</v>
      </c>
      <c r="D17" s="50" t="s">
        <v>27</v>
      </c>
      <c r="E17" s="50" t="s">
        <v>16</v>
      </c>
      <c r="F17" s="50"/>
    </row>
    <row r="18" spans="2:6" x14ac:dyDescent="0.25">
      <c r="B18" s="50">
        <v>2020</v>
      </c>
      <c r="C18" s="50" t="s">
        <v>27</v>
      </c>
      <c r="D18" s="50" t="s">
        <v>27</v>
      </c>
      <c r="E18" s="50" t="s">
        <v>16</v>
      </c>
      <c r="F18" s="50"/>
    </row>
    <row r="19" spans="2:6" x14ac:dyDescent="0.25">
      <c r="B19" s="50">
        <v>2030</v>
      </c>
      <c r="C19" s="50" t="s">
        <v>17</v>
      </c>
      <c r="D19" s="50" t="str">
        <f t="shared" si="0"/>
        <v>Performance fee payable</v>
      </c>
      <c r="E19" s="50" t="s">
        <v>16</v>
      </c>
      <c r="F19" s="50"/>
    </row>
    <row r="20" spans="2:6" x14ac:dyDescent="0.25">
      <c r="B20" s="50">
        <v>2040</v>
      </c>
      <c r="C20" s="50" t="s">
        <v>18</v>
      </c>
      <c r="D20" s="50" t="str">
        <f t="shared" si="0"/>
        <v>Capital distribution payable</v>
      </c>
      <c r="E20" s="50" t="s">
        <v>16</v>
      </c>
      <c r="F20" s="50"/>
    </row>
    <row r="21" spans="2:6" x14ac:dyDescent="0.25">
      <c r="B21" s="50">
        <v>2050</v>
      </c>
      <c r="C21" s="50" t="s">
        <v>19</v>
      </c>
      <c r="D21" s="50" t="str">
        <f t="shared" si="0"/>
        <v>Notes payable</v>
      </c>
      <c r="E21" s="50" t="s">
        <v>16</v>
      </c>
      <c r="F21" s="50"/>
    </row>
    <row r="22" spans="2:6" x14ac:dyDescent="0.25">
      <c r="B22" s="50">
        <v>2060</v>
      </c>
      <c r="C22" s="50" t="s">
        <v>412</v>
      </c>
      <c r="D22" s="50" t="s">
        <v>27</v>
      </c>
      <c r="E22" s="50" t="s">
        <v>16</v>
      </c>
      <c r="F22" s="50"/>
    </row>
    <row r="23" spans="2:6" x14ac:dyDescent="0.25">
      <c r="B23" s="50">
        <v>2070</v>
      </c>
      <c r="C23" s="50" t="s">
        <v>426</v>
      </c>
      <c r="D23" s="50" t="s">
        <v>420</v>
      </c>
      <c r="E23" s="50" t="s">
        <v>16</v>
      </c>
      <c r="F23" s="50"/>
    </row>
    <row r="24" spans="2:6" x14ac:dyDescent="0.25">
      <c r="B24" s="50">
        <v>2080</v>
      </c>
      <c r="C24" s="50" t="s">
        <v>427</v>
      </c>
      <c r="D24" s="50" t="s">
        <v>420</v>
      </c>
      <c r="E24" s="50" t="s">
        <v>16</v>
      </c>
      <c r="F24" s="50"/>
    </row>
    <row r="25" spans="2:6" x14ac:dyDescent="0.25">
      <c r="B25" s="50">
        <v>2090</v>
      </c>
      <c r="C25" s="50" t="s">
        <v>428</v>
      </c>
      <c r="D25" s="50" t="s">
        <v>420</v>
      </c>
      <c r="E25" s="50" t="s">
        <v>16</v>
      </c>
      <c r="F25" s="50"/>
    </row>
    <row r="26" spans="2:6" x14ac:dyDescent="0.25">
      <c r="B26" s="50">
        <v>2100</v>
      </c>
      <c r="C26" s="50" t="s">
        <v>429</v>
      </c>
      <c r="D26" s="50" t="s">
        <v>420</v>
      </c>
      <c r="E26" s="50" t="s">
        <v>16</v>
      </c>
      <c r="F26" s="50"/>
    </row>
    <row r="27" spans="2:6" ht="15" customHeight="1" x14ac:dyDescent="0.25">
      <c r="B27" s="50">
        <v>2110</v>
      </c>
      <c r="C27" s="50" t="s">
        <v>430</v>
      </c>
      <c r="D27" s="50" t="s">
        <v>420</v>
      </c>
      <c r="E27" s="50" t="s">
        <v>16</v>
      </c>
      <c r="F27" s="50"/>
    </row>
    <row r="28" spans="2:6" x14ac:dyDescent="0.25">
      <c r="B28" s="50">
        <v>2120</v>
      </c>
      <c r="C28" s="50" t="s">
        <v>431</v>
      </c>
      <c r="D28" s="50" t="s">
        <v>420</v>
      </c>
      <c r="E28" s="50" t="s">
        <v>16</v>
      </c>
      <c r="F28" s="50"/>
    </row>
    <row r="29" spans="2:6" x14ac:dyDescent="0.25">
      <c r="B29" s="50">
        <v>2130</v>
      </c>
      <c r="C29" s="50" t="s">
        <v>432</v>
      </c>
      <c r="D29" s="50" t="s">
        <v>420</v>
      </c>
      <c r="E29" s="50" t="s">
        <v>16</v>
      </c>
      <c r="F29" s="50"/>
    </row>
    <row r="30" spans="2:6" x14ac:dyDescent="0.25">
      <c r="B30" s="50">
        <v>2140</v>
      </c>
      <c r="C30" s="50" t="s">
        <v>78</v>
      </c>
      <c r="D30" s="50" t="s">
        <v>420</v>
      </c>
      <c r="E30" s="50" t="s">
        <v>16</v>
      </c>
      <c r="F30" s="50"/>
    </row>
    <row r="31" spans="2:6" x14ac:dyDescent="0.25">
      <c r="B31" s="50">
        <v>2150</v>
      </c>
      <c r="C31" s="50" t="s">
        <v>79</v>
      </c>
      <c r="D31" s="50" t="s">
        <v>420</v>
      </c>
      <c r="E31" s="50" t="s">
        <v>16</v>
      </c>
      <c r="F31" s="50"/>
    </row>
    <row r="32" spans="2:6" x14ac:dyDescent="0.25">
      <c r="B32" s="50">
        <v>2160</v>
      </c>
      <c r="C32" s="50" t="s">
        <v>433</v>
      </c>
      <c r="D32" s="50" t="s">
        <v>420</v>
      </c>
      <c r="E32" s="50" t="s">
        <v>16</v>
      </c>
      <c r="F32" s="50"/>
    </row>
    <row r="33" spans="2:6" x14ac:dyDescent="0.25">
      <c r="B33" s="50">
        <v>2170</v>
      </c>
      <c r="C33" s="50" t="s">
        <v>81</v>
      </c>
      <c r="D33" s="50" t="str">
        <f t="shared" ref="D33:D34" si="1">+C33</f>
        <v>Redemptions payable</v>
      </c>
      <c r="E33" s="50" t="s">
        <v>16</v>
      </c>
      <c r="F33" s="50"/>
    </row>
    <row r="34" spans="2:6" x14ac:dyDescent="0.25">
      <c r="B34" s="50">
        <v>2180</v>
      </c>
      <c r="C34" s="50" t="s">
        <v>474</v>
      </c>
      <c r="D34" s="50" t="str">
        <f t="shared" si="1"/>
        <v>Other liabilities</v>
      </c>
      <c r="E34" s="50" t="s">
        <v>16</v>
      </c>
      <c r="F34" s="50"/>
    </row>
    <row r="35" spans="2:6" x14ac:dyDescent="0.25">
      <c r="B35" s="50">
        <v>2190</v>
      </c>
      <c r="C35" s="50" t="s">
        <v>128</v>
      </c>
      <c r="D35" s="50" t="s">
        <v>128</v>
      </c>
      <c r="E35" s="50" t="s">
        <v>16</v>
      </c>
      <c r="F35" s="50"/>
    </row>
    <row r="36" spans="2:6" x14ac:dyDescent="0.25">
      <c r="B36" s="50">
        <v>2200</v>
      </c>
      <c r="C36" s="50" t="s">
        <v>129</v>
      </c>
      <c r="D36" s="50" t="s">
        <v>129</v>
      </c>
      <c r="E36" s="50" t="s">
        <v>16</v>
      </c>
      <c r="F36" s="50"/>
    </row>
    <row r="37" spans="2:6" x14ac:dyDescent="0.25">
      <c r="B37" s="49">
        <v>3000</v>
      </c>
      <c r="C37" s="49" t="s">
        <v>475</v>
      </c>
      <c r="D37" s="49" t="s">
        <v>63</v>
      </c>
      <c r="E37" s="49" t="s">
        <v>20</v>
      </c>
      <c r="F37" s="49"/>
    </row>
    <row r="38" spans="2:6" x14ac:dyDescent="0.25">
      <c r="B38" s="49">
        <v>3010</v>
      </c>
      <c r="C38" s="49" t="s">
        <v>476</v>
      </c>
      <c r="D38" s="49" t="s">
        <v>63</v>
      </c>
      <c r="E38" s="49" t="str">
        <f>+E37</f>
        <v>Fund Equity</v>
      </c>
      <c r="F38" s="49"/>
    </row>
    <row r="39" spans="2:6" x14ac:dyDescent="0.25">
      <c r="B39" s="49">
        <v>3020</v>
      </c>
      <c r="C39" s="49" t="s">
        <v>83</v>
      </c>
      <c r="D39" s="49" t="s">
        <v>63</v>
      </c>
      <c r="E39" s="49" t="str">
        <f>+E38</f>
        <v>Fund Equity</v>
      </c>
      <c r="F39" s="49"/>
    </row>
    <row r="40" spans="2:6" x14ac:dyDescent="0.25">
      <c r="B40" s="49">
        <v>3030</v>
      </c>
      <c r="C40" s="49" t="s">
        <v>82</v>
      </c>
      <c r="D40" s="49" t="s">
        <v>63</v>
      </c>
      <c r="E40" s="49" t="str">
        <f>+E39</f>
        <v>Fund Equity</v>
      </c>
      <c r="F40" s="49"/>
    </row>
    <row r="41" spans="2:6" x14ac:dyDescent="0.25">
      <c r="B41" s="49">
        <v>3040</v>
      </c>
      <c r="C41" s="49" t="s">
        <v>130</v>
      </c>
      <c r="D41" s="49" t="s">
        <v>130</v>
      </c>
      <c r="E41" s="49" t="s">
        <v>20</v>
      </c>
      <c r="F41" s="49"/>
    </row>
    <row r="42" spans="2:6" x14ac:dyDescent="0.25">
      <c r="B42" s="50">
        <v>4000</v>
      </c>
      <c r="C42" s="50" t="s">
        <v>477</v>
      </c>
      <c r="D42" s="50" t="s">
        <v>21</v>
      </c>
      <c r="E42" s="50" t="s">
        <v>22</v>
      </c>
      <c r="F42" s="50"/>
    </row>
    <row r="43" spans="2:6" x14ac:dyDescent="0.25">
      <c r="B43" s="50">
        <v>4010</v>
      </c>
      <c r="C43" s="50" t="s">
        <v>478</v>
      </c>
      <c r="D43" s="50" t="s">
        <v>113</v>
      </c>
      <c r="E43" s="50" t="s">
        <v>22</v>
      </c>
      <c r="F43" s="50"/>
    </row>
    <row r="44" spans="2:6" x14ac:dyDescent="0.25">
      <c r="B44" s="50">
        <v>4020</v>
      </c>
      <c r="C44" s="50" t="s">
        <v>23</v>
      </c>
      <c r="D44" s="50" t="s">
        <v>105</v>
      </c>
      <c r="E44" s="50" t="s">
        <v>22</v>
      </c>
      <c r="F44" s="50"/>
    </row>
    <row r="45" spans="2:6" x14ac:dyDescent="0.25">
      <c r="B45" s="50">
        <v>4030</v>
      </c>
      <c r="C45" s="50" t="s">
        <v>84</v>
      </c>
      <c r="D45" s="50" t="s">
        <v>106</v>
      </c>
      <c r="E45" s="50" t="s">
        <v>22</v>
      </c>
      <c r="F45" s="50"/>
    </row>
    <row r="46" spans="2:6" x14ac:dyDescent="0.25">
      <c r="B46" s="49">
        <v>5000</v>
      </c>
      <c r="C46" s="49" t="s">
        <v>24</v>
      </c>
      <c r="D46" s="49" t="s">
        <v>175</v>
      </c>
      <c r="E46" s="49" t="s">
        <v>25</v>
      </c>
      <c r="F46" s="49"/>
    </row>
    <row r="47" spans="2:6" x14ac:dyDescent="0.25">
      <c r="B47" s="49">
        <v>5010</v>
      </c>
      <c r="C47" s="49" t="s">
        <v>26</v>
      </c>
      <c r="D47" s="49" t="s">
        <v>446</v>
      </c>
      <c r="E47" s="49" t="s">
        <v>25</v>
      </c>
      <c r="F47" s="49"/>
    </row>
    <row r="48" spans="2:6" x14ac:dyDescent="0.25">
      <c r="B48" s="49">
        <v>5020</v>
      </c>
      <c r="C48" s="49" t="s">
        <v>424</v>
      </c>
      <c r="D48" s="49" t="s">
        <v>75</v>
      </c>
      <c r="E48" s="49" t="s">
        <v>25</v>
      </c>
      <c r="F48" s="49"/>
    </row>
    <row r="49" spans="2:6" x14ac:dyDescent="0.25">
      <c r="B49" s="49">
        <v>5030</v>
      </c>
      <c r="C49" s="49" t="s">
        <v>28</v>
      </c>
      <c r="D49" s="49" t="s">
        <v>75</v>
      </c>
      <c r="E49" s="49" t="s">
        <v>25</v>
      </c>
      <c r="F49" s="49"/>
    </row>
    <row r="50" spans="2:6" x14ac:dyDescent="0.25">
      <c r="B50" s="49">
        <v>5040</v>
      </c>
      <c r="C50" s="49" t="s">
        <v>96</v>
      </c>
      <c r="D50" s="49" t="s">
        <v>75</v>
      </c>
      <c r="E50" s="49" t="s">
        <v>25</v>
      </c>
      <c r="F50" s="49"/>
    </row>
    <row r="51" spans="2:6" x14ac:dyDescent="0.25">
      <c r="B51" s="49">
        <v>5050</v>
      </c>
      <c r="C51" s="49" t="s">
        <v>29</v>
      </c>
      <c r="D51" s="49" t="s">
        <v>75</v>
      </c>
      <c r="E51" s="49" t="s">
        <v>25</v>
      </c>
      <c r="F51" s="49"/>
    </row>
    <row r="52" spans="2:6" x14ac:dyDescent="0.25">
      <c r="B52" s="49">
        <v>5060</v>
      </c>
      <c r="C52" s="49" t="s">
        <v>425</v>
      </c>
      <c r="D52" s="49" t="s">
        <v>75</v>
      </c>
      <c r="E52" s="49" t="s">
        <v>25</v>
      </c>
      <c r="F52" s="49"/>
    </row>
    <row r="53" spans="2:6" x14ac:dyDescent="0.25">
      <c r="B53" s="49">
        <v>5070</v>
      </c>
      <c r="C53" s="49" t="s">
        <v>30</v>
      </c>
      <c r="D53" s="49" t="s">
        <v>75</v>
      </c>
      <c r="E53" s="49" t="s">
        <v>25</v>
      </c>
      <c r="F53" s="49"/>
    </row>
    <row r="54" spans="2:6" x14ac:dyDescent="0.25">
      <c r="B54" s="49">
        <v>5080</v>
      </c>
      <c r="C54" s="49" t="s">
        <v>31</v>
      </c>
      <c r="D54" s="49" t="s">
        <v>75</v>
      </c>
      <c r="E54" s="49" t="s">
        <v>25</v>
      </c>
      <c r="F54" s="49"/>
    </row>
    <row r="55" spans="2:6" x14ac:dyDescent="0.25">
      <c r="B55" s="49">
        <v>5090</v>
      </c>
      <c r="C55" s="49" t="s">
        <v>32</v>
      </c>
      <c r="D55" s="49" t="s">
        <v>75</v>
      </c>
      <c r="E55" s="49" t="s">
        <v>25</v>
      </c>
      <c r="F55" s="49"/>
    </row>
    <row r="56" spans="2:6" x14ac:dyDescent="0.25">
      <c r="B56" s="49">
        <v>5100</v>
      </c>
      <c r="C56" s="49" t="s">
        <v>33</v>
      </c>
      <c r="D56" s="49" t="s">
        <v>75</v>
      </c>
      <c r="E56" s="49" t="s">
        <v>25</v>
      </c>
      <c r="F56" s="49"/>
    </row>
    <row r="57" spans="2:6" x14ac:dyDescent="0.25">
      <c r="B57" s="49">
        <v>5110</v>
      </c>
      <c r="C57" s="49" t="s">
        <v>34</v>
      </c>
      <c r="D57" s="49" t="s">
        <v>107</v>
      </c>
      <c r="E57" s="49" t="s">
        <v>25</v>
      </c>
      <c r="F57" s="49"/>
    </row>
    <row r="58" spans="2:6" x14ac:dyDescent="0.25">
      <c r="B58" s="49">
        <v>5120</v>
      </c>
      <c r="C58" s="49" t="s">
        <v>270</v>
      </c>
      <c r="D58" s="49" t="s">
        <v>35</v>
      </c>
      <c r="E58" s="49" t="s">
        <v>25</v>
      </c>
      <c r="F58" s="49"/>
    </row>
    <row r="59" spans="2:6" x14ac:dyDescent="0.25">
      <c r="B59" s="49">
        <v>5130</v>
      </c>
      <c r="C59" s="49" t="s">
        <v>85</v>
      </c>
      <c r="D59" s="49" t="s">
        <v>75</v>
      </c>
      <c r="E59" s="49" t="s">
        <v>25</v>
      </c>
      <c r="F59" s="49"/>
    </row>
    <row r="60" spans="2:6" x14ac:dyDescent="0.25">
      <c r="B60" s="49">
        <v>5140</v>
      </c>
      <c r="C60" s="49" t="s">
        <v>86</v>
      </c>
      <c r="D60" s="49" t="s">
        <v>75</v>
      </c>
      <c r="E60" s="49" t="s">
        <v>25</v>
      </c>
      <c r="F60" s="49"/>
    </row>
    <row r="61" spans="2:6" x14ac:dyDescent="0.25">
      <c r="B61" s="49">
        <v>5150</v>
      </c>
      <c r="C61" s="49" t="s">
        <v>101</v>
      </c>
      <c r="D61" s="49" t="s">
        <v>131</v>
      </c>
      <c r="E61" s="49" t="s">
        <v>25</v>
      </c>
      <c r="F61" s="49"/>
    </row>
    <row r="62" spans="2:6" x14ac:dyDescent="0.25">
      <c r="B62" s="49">
        <v>5160</v>
      </c>
      <c r="C62" s="49" t="s">
        <v>102</v>
      </c>
      <c r="D62" s="49" t="s">
        <v>131</v>
      </c>
      <c r="E62" s="49" t="s">
        <v>25</v>
      </c>
      <c r="F62" s="49"/>
    </row>
    <row r="63" spans="2:6" x14ac:dyDescent="0.25">
      <c r="B63" s="49">
        <v>5170</v>
      </c>
      <c r="C63" s="49" t="s">
        <v>114</v>
      </c>
      <c r="D63" s="49" t="s">
        <v>131</v>
      </c>
      <c r="E63" s="49" t="s">
        <v>25</v>
      </c>
      <c r="F63" s="49"/>
    </row>
    <row r="64" spans="2:6" x14ac:dyDescent="0.25">
      <c r="B64" s="49">
        <v>5180</v>
      </c>
      <c r="C64" s="49" t="s">
        <v>115</v>
      </c>
      <c r="D64" s="49" t="s">
        <v>131</v>
      </c>
      <c r="E64" s="49" t="s">
        <v>25</v>
      </c>
      <c r="F64" s="49"/>
    </row>
    <row r="65" spans="2:7" x14ac:dyDescent="0.25">
      <c r="B65" s="49">
        <v>5190</v>
      </c>
      <c r="C65" s="49" t="s">
        <v>479</v>
      </c>
      <c r="D65" s="49" t="s">
        <v>131</v>
      </c>
      <c r="E65" s="49" t="s">
        <v>25</v>
      </c>
      <c r="F65" s="49"/>
    </row>
    <row r="66" spans="2:7" x14ac:dyDescent="0.25">
      <c r="B66" s="49">
        <v>5200</v>
      </c>
      <c r="C66" s="49" t="s">
        <v>132</v>
      </c>
      <c r="D66" s="49" t="s">
        <v>131</v>
      </c>
      <c r="E66" s="49" t="s">
        <v>25</v>
      </c>
      <c r="F66" s="49"/>
    </row>
    <row r="67" spans="2:7" x14ac:dyDescent="0.25">
      <c r="B67" s="49">
        <v>5210</v>
      </c>
      <c r="C67" s="49" t="s">
        <v>133</v>
      </c>
      <c r="D67" s="49" t="s">
        <v>131</v>
      </c>
      <c r="E67" s="49" t="s">
        <v>25</v>
      </c>
      <c r="F67" s="49"/>
    </row>
    <row r="68" spans="2:7" x14ac:dyDescent="0.25">
      <c r="B68" s="49">
        <v>5220</v>
      </c>
      <c r="C68" s="49" t="s">
        <v>134</v>
      </c>
      <c r="D68" s="49" t="s">
        <v>131</v>
      </c>
      <c r="E68" s="49" t="s">
        <v>25</v>
      </c>
      <c r="F68" s="49"/>
    </row>
    <row r="69" spans="2:7" x14ac:dyDescent="0.25">
      <c r="B69" s="49">
        <v>5230</v>
      </c>
      <c r="C69" s="49" t="s">
        <v>418</v>
      </c>
      <c r="D69" s="49" t="s">
        <v>418</v>
      </c>
      <c r="E69" s="49" t="s">
        <v>25</v>
      </c>
      <c r="F69" s="49"/>
    </row>
    <row r="70" spans="2:7" x14ac:dyDescent="0.25">
      <c r="B70" s="49">
        <v>8000</v>
      </c>
      <c r="C70" s="49" t="s">
        <v>97</v>
      </c>
      <c r="D70" s="49" t="s">
        <v>111</v>
      </c>
      <c r="E70" s="49" t="s">
        <v>98</v>
      </c>
      <c r="F70" s="49"/>
      <c r="G70" s="10" t="s">
        <v>100</v>
      </c>
    </row>
    <row r="71" spans="2:7" x14ac:dyDescent="0.25">
      <c r="B71" s="49">
        <v>8010</v>
      </c>
      <c r="C71" s="49" t="s">
        <v>99</v>
      </c>
      <c r="D71" s="49" t="s">
        <v>112</v>
      </c>
      <c r="E71" s="49" t="s">
        <v>98</v>
      </c>
      <c r="F71" s="49"/>
      <c r="G71" s="10" t="s">
        <v>100</v>
      </c>
    </row>
    <row r="72" spans="2:7" x14ac:dyDescent="0.25">
      <c r="B72" s="49">
        <v>8020</v>
      </c>
      <c r="C72" s="49" t="s">
        <v>135</v>
      </c>
      <c r="D72" s="49" t="s">
        <v>135</v>
      </c>
      <c r="E72" s="49" t="s">
        <v>98</v>
      </c>
      <c r="F72" s="49"/>
      <c r="G72" s="10" t="s">
        <v>100</v>
      </c>
    </row>
    <row r="73" spans="2:7" x14ac:dyDescent="0.25">
      <c r="B73" s="50">
        <v>6000</v>
      </c>
      <c r="C73" s="50" t="s">
        <v>480</v>
      </c>
      <c r="D73" s="50" t="s">
        <v>108</v>
      </c>
      <c r="E73" s="50" t="s">
        <v>417</v>
      </c>
      <c r="F73" s="50"/>
    </row>
    <row r="74" spans="2:7" x14ac:dyDescent="0.25">
      <c r="B74" s="50">
        <v>6010</v>
      </c>
      <c r="C74" s="50" t="s">
        <v>481</v>
      </c>
      <c r="D74" s="50" t="s">
        <v>109</v>
      </c>
      <c r="E74" s="50" t="s">
        <v>417</v>
      </c>
      <c r="F74" s="50"/>
    </row>
    <row r="75" spans="2:7" x14ac:dyDescent="0.25">
      <c r="B75" s="50">
        <v>6020</v>
      </c>
      <c r="C75" s="50" t="s">
        <v>415</v>
      </c>
      <c r="D75" s="50" t="s">
        <v>110</v>
      </c>
      <c r="E75" s="50" t="s">
        <v>417</v>
      </c>
      <c r="F75" s="50"/>
    </row>
    <row r="76" spans="2:7" x14ac:dyDescent="0.25">
      <c r="B76" s="50">
        <v>6030</v>
      </c>
      <c r="C76" s="50" t="s">
        <v>416</v>
      </c>
      <c r="D76" s="50" t="s">
        <v>110</v>
      </c>
      <c r="E76" s="50" t="s">
        <v>417</v>
      </c>
      <c r="F76" s="50"/>
    </row>
  </sheetData>
  <conditionalFormatting sqref="C1:C1048576">
    <cfRule type="duplicateValues" dxfId="1" priority="2"/>
  </conditionalFormatting>
  <conditionalFormatting sqref="N1:Q1048576">
    <cfRule type="containsText" dxfId="0" priority="1" operator="containsText" text="false">
      <formula>NOT(ISERROR(SEARCH("false",N1)))</formula>
    </cfRule>
  </conditionalFormatting>
  <pageMargins left="0.7" right="0.7" top="0.75" bottom="0.75" header="0.3" footer="0.3"/>
  <pageSetup paperSize="9" orientation="portrait"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B170C-2A7B-4AA2-B65F-A4B6DD3F2A63}">
  <sheetPr>
    <tabColor theme="6" tint="0.79998168889431442"/>
  </sheetPr>
  <dimension ref="B1:R107"/>
  <sheetViews>
    <sheetView showGridLines="0" workbookViewId="0">
      <pane xSplit="2" ySplit="2" topLeftCell="C3" activePane="bottomRight" state="frozen"/>
      <selection pane="topRight" activeCell="C1" sqref="C1"/>
      <selection pane="bottomLeft" activeCell="A3" sqref="A3"/>
      <selection pane="bottomRight" activeCell="J25" sqref="J25"/>
    </sheetView>
  </sheetViews>
  <sheetFormatPr defaultRowHeight="15.75" outlineLevelRow="1" outlineLevelCol="1" x14ac:dyDescent="0.25"/>
  <cols>
    <col min="1" max="1" width="1.42578125" style="10" customWidth="1"/>
    <col min="2" max="2" width="12.85546875" style="44" bestFit="1" customWidth="1"/>
    <col min="3" max="3" width="20.85546875" style="44" customWidth="1" outlineLevel="1"/>
    <col min="4" max="4" width="21.140625" style="532" customWidth="1" outlineLevel="1"/>
    <col min="5" max="5" width="24.85546875" style="532" customWidth="1" outlineLevel="1"/>
    <col min="6" max="6" width="36" style="42" customWidth="1" outlineLevel="1"/>
    <col min="7" max="7" width="16.28515625" customWidth="1" outlineLevel="1"/>
    <col min="8" max="8" width="16.42578125" style="10" bestFit="1" customWidth="1"/>
    <col min="9" max="9" width="11.85546875" style="10" bestFit="1" customWidth="1"/>
    <col min="10" max="10" width="18.42578125" style="10" customWidth="1"/>
    <col min="11" max="11" width="9.7109375" style="531" customWidth="1"/>
    <col min="12" max="12" width="12.85546875" style="10" customWidth="1"/>
    <col min="13" max="16384" width="9.140625" style="10"/>
  </cols>
  <sheetData>
    <row r="1" spans="2:18" s="31" customFormat="1" ht="11.25" customHeight="1" thickBot="1" x14ac:dyDescent="0.3">
      <c r="B1" s="34"/>
      <c r="C1" s="34"/>
      <c r="D1" s="486"/>
      <c r="E1" s="486"/>
      <c r="F1" s="35"/>
      <c r="H1" s="35"/>
      <c r="I1" s="495"/>
      <c r="J1" s="495"/>
      <c r="K1" s="435"/>
      <c r="O1" s="10"/>
      <c r="P1" s="10"/>
      <c r="Q1" s="10"/>
      <c r="R1" s="10"/>
    </row>
    <row r="2" spans="2:18" s="11" customFormat="1" ht="34.5" customHeight="1" x14ac:dyDescent="0.25">
      <c r="B2" s="488" t="s">
        <v>605</v>
      </c>
      <c r="C2" s="489" t="s">
        <v>606</v>
      </c>
      <c r="D2" s="489" t="s">
        <v>608</v>
      </c>
      <c r="E2" s="489" t="s">
        <v>609</v>
      </c>
      <c r="F2" s="489" t="s">
        <v>37</v>
      </c>
      <c r="G2" s="489" t="s">
        <v>607</v>
      </c>
      <c r="H2" s="490" t="s">
        <v>136</v>
      </c>
      <c r="I2" s="116" t="s">
        <v>716</v>
      </c>
      <c r="J2" s="116" t="s">
        <v>715</v>
      </c>
      <c r="K2" s="497" t="s">
        <v>408</v>
      </c>
    </row>
    <row r="3" spans="2:18" x14ac:dyDescent="0.25">
      <c r="B3" s="526">
        <v>45306</v>
      </c>
      <c r="C3" s="527"/>
      <c r="D3" s="528">
        <v>1000000</v>
      </c>
      <c r="E3" s="528"/>
      <c r="F3" s="529" t="s">
        <v>610</v>
      </c>
      <c r="G3" s="461"/>
      <c r="H3" s="530">
        <f>+D3-E3</f>
        <v>1000000</v>
      </c>
      <c r="I3" s="40">
        <f t="shared" ref="I3:I34" si="0">EOMONTH(B3,CEILING(MONTH(B3),3)-MONTH(B3))</f>
        <v>45382</v>
      </c>
      <c r="J3" s="496"/>
      <c r="K3" s="484"/>
      <c r="M3" s="377" t="s">
        <v>701</v>
      </c>
    </row>
    <row r="4" spans="2:18" x14ac:dyDescent="0.25">
      <c r="B4" s="526">
        <v>45306</v>
      </c>
      <c r="C4" s="527"/>
      <c r="D4" s="528"/>
      <c r="E4" s="528">
        <v>800000</v>
      </c>
      <c r="F4" s="529" t="s">
        <v>613</v>
      </c>
      <c r="G4" s="461"/>
      <c r="H4" s="530">
        <f>+D4-E4+H3</f>
        <v>200000</v>
      </c>
      <c r="I4" s="40">
        <f t="shared" si="0"/>
        <v>45382</v>
      </c>
      <c r="J4" s="496"/>
      <c r="K4" s="484"/>
      <c r="M4" s="377" t="s">
        <v>702</v>
      </c>
    </row>
    <row r="5" spans="2:18" x14ac:dyDescent="0.25">
      <c r="B5" s="526">
        <v>45311</v>
      </c>
      <c r="C5" s="527"/>
      <c r="D5" s="528">
        <v>4600000</v>
      </c>
      <c r="E5" s="528"/>
      <c r="F5" s="529" t="s">
        <v>611</v>
      </c>
      <c r="G5" s="461"/>
      <c r="H5" s="530">
        <f t="shared" ref="H5:H68" si="1">+D5-E5+H4</f>
        <v>4800000</v>
      </c>
      <c r="I5" s="40">
        <f t="shared" si="0"/>
        <v>45382</v>
      </c>
      <c r="J5" s="496"/>
      <c r="K5" s="484"/>
      <c r="M5" s="377" t="s">
        <v>703</v>
      </c>
    </row>
    <row r="6" spans="2:18" x14ac:dyDescent="0.25">
      <c r="B6" s="526">
        <v>45311</v>
      </c>
      <c r="C6" s="527"/>
      <c r="D6" s="528"/>
      <c r="E6" s="528">
        <v>4600000</v>
      </c>
      <c r="F6" s="529" t="s">
        <v>614</v>
      </c>
      <c r="G6" s="461"/>
      <c r="H6" s="530">
        <f t="shared" si="1"/>
        <v>200000</v>
      </c>
      <c r="I6" s="40">
        <f t="shared" si="0"/>
        <v>45382</v>
      </c>
      <c r="J6" s="496"/>
      <c r="K6" s="484"/>
      <c r="M6" s="377" t="s">
        <v>704</v>
      </c>
    </row>
    <row r="7" spans="2:18" x14ac:dyDescent="0.25">
      <c r="B7" s="526">
        <v>45321</v>
      </c>
      <c r="C7" s="527"/>
      <c r="D7" s="528"/>
      <c r="E7" s="528">
        <v>2500</v>
      </c>
      <c r="F7" s="529" t="s">
        <v>725</v>
      </c>
      <c r="G7" s="461"/>
      <c r="H7" s="530">
        <f t="shared" si="1"/>
        <v>197500</v>
      </c>
      <c r="I7" s="40">
        <f t="shared" si="0"/>
        <v>45382</v>
      </c>
      <c r="J7" s="496"/>
      <c r="K7" s="484"/>
      <c r="M7" s="377" t="s">
        <v>705</v>
      </c>
    </row>
    <row r="8" spans="2:18" x14ac:dyDescent="0.25">
      <c r="B8" s="526">
        <v>45322</v>
      </c>
      <c r="C8" s="527"/>
      <c r="D8" s="528"/>
      <c r="E8" s="528">
        <v>1666.6666666666667</v>
      </c>
      <c r="F8" s="529" t="s">
        <v>621</v>
      </c>
      <c r="G8" s="461"/>
      <c r="H8" s="530">
        <f t="shared" si="1"/>
        <v>195833.33333333334</v>
      </c>
      <c r="I8" s="40">
        <f t="shared" si="0"/>
        <v>45382</v>
      </c>
      <c r="J8" s="496"/>
      <c r="K8" s="484"/>
      <c r="M8" s="377" t="s">
        <v>706</v>
      </c>
    </row>
    <row r="9" spans="2:18" x14ac:dyDescent="0.25">
      <c r="B9" s="526">
        <v>45322</v>
      </c>
      <c r="C9" s="527"/>
      <c r="D9" s="528"/>
      <c r="E9" s="528">
        <v>666.66666666666663</v>
      </c>
      <c r="F9" s="529" t="s">
        <v>633</v>
      </c>
      <c r="G9" s="461"/>
      <c r="H9" s="530">
        <f t="shared" si="1"/>
        <v>195166.66666666669</v>
      </c>
      <c r="I9" s="40">
        <f t="shared" si="0"/>
        <v>45382</v>
      </c>
      <c r="J9" s="496"/>
      <c r="K9" s="484"/>
      <c r="M9" s="377" t="s">
        <v>707</v>
      </c>
    </row>
    <row r="10" spans="2:18" x14ac:dyDescent="0.25">
      <c r="B10" s="526">
        <v>45322</v>
      </c>
      <c r="C10" s="527"/>
      <c r="D10" s="528"/>
      <c r="E10" s="528">
        <v>250</v>
      </c>
      <c r="F10" s="529" t="s">
        <v>645</v>
      </c>
      <c r="G10" s="461"/>
      <c r="H10" s="530">
        <f t="shared" si="1"/>
        <v>194916.66666666669</v>
      </c>
      <c r="I10" s="40">
        <f t="shared" si="0"/>
        <v>45382</v>
      </c>
      <c r="J10" s="496"/>
      <c r="K10" s="484"/>
      <c r="M10" s="377" t="s">
        <v>708</v>
      </c>
    </row>
    <row r="11" spans="2:18" x14ac:dyDescent="0.25">
      <c r="B11" s="526">
        <v>45322</v>
      </c>
      <c r="C11" s="527"/>
      <c r="D11" s="528"/>
      <c r="E11" s="528">
        <v>833.33333333333337</v>
      </c>
      <c r="F11" s="529" t="s">
        <v>657</v>
      </c>
      <c r="G11" s="461"/>
      <c r="H11" s="530">
        <f t="shared" si="1"/>
        <v>194083.33333333334</v>
      </c>
      <c r="I11" s="40">
        <f t="shared" si="0"/>
        <v>45382</v>
      </c>
      <c r="J11" s="496"/>
      <c r="K11" s="484"/>
      <c r="M11" s="377" t="s">
        <v>709</v>
      </c>
    </row>
    <row r="12" spans="2:18" x14ac:dyDescent="0.25">
      <c r="B12" s="526">
        <v>45351</v>
      </c>
      <c r="C12" s="527"/>
      <c r="D12" s="528"/>
      <c r="E12" s="528">
        <v>1666.6666666666667</v>
      </c>
      <c r="F12" s="529" t="s">
        <v>622</v>
      </c>
      <c r="G12" s="461"/>
      <c r="H12" s="530">
        <f t="shared" si="1"/>
        <v>192416.66666666669</v>
      </c>
      <c r="I12" s="40">
        <f t="shared" si="0"/>
        <v>45382</v>
      </c>
      <c r="J12" s="496"/>
      <c r="K12" s="484"/>
      <c r="M12" s="377" t="s">
        <v>710</v>
      </c>
    </row>
    <row r="13" spans="2:18" x14ac:dyDescent="0.25">
      <c r="B13" s="526">
        <v>45351</v>
      </c>
      <c r="C13" s="527"/>
      <c r="D13" s="528"/>
      <c r="E13" s="528">
        <v>666.66666666666663</v>
      </c>
      <c r="F13" s="529" t="s">
        <v>634</v>
      </c>
      <c r="G13" s="461"/>
      <c r="H13" s="530">
        <f t="shared" si="1"/>
        <v>191750.00000000003</v>
      </c>
      <c r="I13" s="40">
        <f t="shared" si="0"/>
        <v>45382</v>
      </c>
      <c r="J13" s="496"/>
      <c r="K13" s="484"/>
      <c r="M13" s="377" t="s">
        <v>711</v>
      </c>
    </row>
    <row r="14" spans="2:18" outlineLevel="1" x14ac:dyDescent="0.25">
      <c r="B14" s="526">
        <v>45351</v>
      </c>
      <c r="C14" s="527"/>
      <c r="D14" s="528"/>
      <c r="E14" s="528">
        <v>250</v>
      </c>
      <c r="F14" s="529" t="s">
        <v>646</v>
      </c>
      <c r="G14" s="461"/>
      <c r="H14" s="530">
        <f t="shared" si="1"/>
        <v>191500.00000000003</v>
      </c>
      <c r="I14" s="40">
        <f t="shared" si="0"/>
        <v>45382</v>
      </c>
      <c r="J14" s="496"/>
      <c r="K14" s="484"/>
      <c r="M14" s="377" t="s">
        <v>712</v>
      </c>
    </row>
    <row r="15" spans="2:18" outlineLevel="1" x14ac:dyDescent="0.25">
      <c r="B15" s="526">
        <v>45351</v>
      </c>
      <c r="C15" s="527"/>
      <c r="D15" s="528"/>
      <c r="E15" s="528">
        <v>833.33333333333337</v>
      </c>
      <c r="F15" s="529" t="s">
        <v>658</v>
      </c>
      <c r="G15" s="461"/>
      <c r="H15" s="530">
        <f t="shared" si="1"/>
        <v>190666.66666666669</v>
      </c>
      <c r="I15" s="40">
        <f t="shared" si="0"/>
        <v>45382</v>
      </c>
      <c r="J15" s="496"/>
      <c r="K15" s="484"/>
      <c r="M15" s="377" t="s">
        <v>713</v>
      </c>
    </row>
    <row r="16" spans="2:18" outlineLevel="1" x14ac:dyDescent="0.25">
      <c r="B16" s="526">
        <v>45351</v>
      </c>
      <c r="C16" s="527"/>
      <c r="D16" s="528"/>
      <c r="E16" s="528">
        <v>2500</v>
      </c>
      <c r="F16" s="529" t="s">
        <v>726</v>
      </c>
      <c r="G16" s="461"/>
      <c r="H16" s="530">
        <f t="shared" si="1"/>
        <v>188166.66666666669</v>
      </c>
      <c r="I16" s="40">
        <f t="shared" si="0"/>
        <v>45382</v>
      </c>
      <c r="J16" s="496"/>
      <c r="K16" s="484"/>
      <c r="M16" s="377" t="s">
        <v>714</v>
      </c>
    </row>
    <row r="17" spans="2:11" outlineLevel="1" x14ac:dyDescent="0.25">
      <c r="B17" s="526">
        <v>45351</v>
      </c>
      <c r="C17" s="527"/>
      <c r="D17" s="528">
        <v>18333.333333333332</v>
      </c>
      <c r="E17" s="528"/>
      <c r="F17" s="529" t="s">
        <v>670</v>
      </c>
      <c r="G17" s="461"/>
      <c r="H17" s="530">
        <f t="shared" si="1"/>
        <v>206500.00000000003</v>
      </c>
      <c r="I17" s="40">
        <f t="shared" si="0"/>
        <v>45382</v>
      </c>
      <c r="J17" s="496"/>
      <c r="K17" s="484"/>
    </row>
    <row r="18" spans="2:11" outlineLevel="1" x14ac:dyDescent="0.25">
      <c r="B18" s="526">
        <v>45382</v>
      </c>
      <c r="C18" s="527"/>
      <c r="D18" s="528"/>
      <c r="E18" s="528">
        <v>1666.6666666666667</v>
      </c>
      <c r="F18" s="529" t="s">
        <v>623</v>
      </c>
      <c r="G18" s="461"/>
      <c r="H18" s="530">
        <f t="shared" si="1"/>
        <v>204833.33333333337</v>
      </c>
      <c r="I18" s="40">
        <f t="shared" si="0"/>
        <v>45382</v>
      </c>
      <c r="J18" s="496"/>
      <c r="K18" s="484"/>
    </row>
    <row r="19" spans="2:11" outlineLevel="1" x14ac:dyDescent="0.25">
      <c r="B19" s="526">
        <v>45382</v>
      </c>
      <c r="C19" s="527"/>
      <c r="D19" s="528"/>
      <c r="E19" s="528">
        <v>666.66666666666663</v>
      </c>
      <c r="F19" s="529" t="s">
        <v>635</v>
      </c>
      <c r="G19" s="461"/>
      <c r="H19" s="530">
        <f t="shared" si="1"/>
        <v>204166.66666666672</v>
      </c>
      <c r="I19" s="40">
        <f t="shared" si="0"/>
        <v>45382</v>
      </c>
      <c r="J19" s="496"/>
      <c r="K19" s="484"/>
    </row>
    <row r="20" spans="2:11" outlineLevel="1" x14ac:dyDescent="0.25">
      <c r="B20" s="526">
        <v>45382</v>
      </c>
      <c r="C20" s="527"/>
      <c r="D20" s="528"/>
      <c r="E20" s="528">
        <v>250</v>
      </c>
      <c r="F20" s="529" t="s">
        <v>647</v>
      </c>
      <c r="G20" s="461"/>
      <c r="H20" s="530">
        <f t="shared" si="1"/>
        <v>203916.66666666672</v>
      </c>
      <c r="I20" s="40">
        <f t="shared" si="0"/>
        <v>45382</v>
      </c>
      <c r="J20" s="496"/>
      <c r="K20" s="484"/>
    </row>
    <row r="21" spans="2:11" outlineLevel="1" x14ac:dyDescent="0.25">
      <c r="B21" s="526">
        <v>45382</v>
      </c>
      <c r="C21" s="527"/>
      <c r="D21" s="528"/>
      <c r="E21" s="528">
        <v>833.33333333333337</v>
      </c>
      <c r="F21" s="529" t="s">
        <v>659</v>
      </c>
      <c r="G21" s="461"/>
      <c r="H21" s="530">
        <f t="shared" si="1"/>
        <v>203083.33333333337</v>
      </c>
      <c r="I21" s="40">
        <f t="shared" si="0"/>
        <v>45382</v>
      </c>
      <c r="J21" s="496"/>
      <c r="K21" s="484"/>
    </row>
    <row r="22" spans="2:11" outlineLevel="1" x14ac:dyDescent="0.25">
      <c r="B22" s="526">
        <v>45382</v>
      </c>
      <c r="C22" s="527"/>
      <c r="D22" s="528"/>
      <c r="E22" s="528">
        <v>75000</v>
      </c>
      <c r="F22" s="529" t="s">
        <v>669</v>
      </c>
      <c r="G22" s="461"/>
      <c r="H22" s="530">
        <f t="shared" si="1"/>
        <v>128083.33333333337</v>
      </c>
      <c r="I22" s="40">
        <f t="shared" si="0"/>
        <v>45382</v>
      </c>
      <c r="J22" s="496"/>
      <c r="K22" s="484"/>
    </row>
    <row r="23" spans="2:11" outlineLevel="1" x14ac:dyDescent="0.25">
      <c r="B23" s="526">
        <v>45382</v>
      </c>
      <c r="C23" s="527"/>
      <c r="D23" s="528"/>
      <c r="E23" s="528">
        <v>2500</v>
      </c>
      <c r="F23" s="529" t="s">
        <v>727</v>
      </c>
      <c r="G23" s="461"/>
      <c r="H23" s="530">
        <f t="shared" si="1"/>
        <v>125583.33333333337</v>
      </c>
      <c r="I23" s="40">
        <f t="shared" si="0"/>
        <v>45382</v>
      </c>
      <c r="J23" s="496"/>
      <c r="K23" s="484"/>
    </row>
    <row r="24" spans="2:11" outlineLevel="1" x14ac:dyDescent="0.25">
      <c r="B24" s="526">
        <v>45382</v>
      </c>
      <c r="C24" s="527"/>
      <c r="D24" s="528">
        <v>18333.333333333332</v>
      </c>
      <c r="E24" s="528"/>
      <c r="F24" s="529" t="s">
        <v>671</v>
      </c>
      <c r="G24" s="461"/>
      <c r="H24" s="530">
        <f t="shared" si="1"/>
        <v>143916.66666666672</v>
      </c>
      <c r="I24" s="40">
        <f t="shared" si="0"/>
        <v>45382</v>
      </c>
      <c r="J24" s="496"/>
      <c r="K24" s="484"/>
    </row>
    <row r="25" spans="2:11" x14ac:dyDescent="0.25">
      <c r="B25" s="498">
        <v>45382</v>
      </c>
      <c r="C25" s="499"/>
      <c r="D25" s="500"/>
      <c r="E25" s="500">
        <v>75000</v>
      </c>
      <c r="F25" s="501" t="s">
        <v>697</v>
      </c>
      <c r="G25" s="502"/>
      <c r="H25" s="503">
        <f t="shared" si="1"/>
        <v>68916.666666666715</v>
      </c>
      <c r="I25" s="504">
        <f t="shared" si="0"/>
        <v>45382</v>
      </c>
      <c r="J25" s="496">
        <f>+'Balance Sheet'!E11</f>
        <v>68916.666666666686</v>
      </c>
      <c r="K25" s="442">
        <f>+J25-H25</f>
        <v>0</v>
      </c>
    </row>
    <row r="26" spans="2:11" outlineLevel="1" x14ac:dyDescent="0.25">
      <c r="B26" s="526">
        <v>45412</v>
      </c>
      <c r="C26" s="527"/>
      <c r="D26" s="528"/>
      <c r="E26" s="528">
        <v>1666.6666666666667</v>
      </c>
      <c r="F26" s="529" t="s">
        <v>624</v>
      </c>
      <c r="G26" s="461"/>
      <c r="H26" s="530">
        <f t="shared" si="1"/>
        <v>67250.000000000044</v>
      </c>
      <c r="I26" s="40">
        <f t="shared" si="0"/>
        <v>45473</v>
      </c>
      <c r="J26" s="496"/>
      <c r="K26" s="442"/>
    </row>
    <row r="27" spans="2:11" outlineLevel="1" x14ac:dyDescent="0.25">
      <c r="B27" s="526">
        <v>45412</v>
      </c>
      <c r="C27" s="527"/>
      <c r="D27" s="528"/>
      <c r="E27" s="528">
        <v>666.66666666666663</v>
      </c>
      <c r="F27" s="529" t="s">
        <v>636</v>
      </c>
      <c r="G27" s="461"/>
      <c r="H27" s="530">
        <f t="shared" si="1"/>
        <v>66583.333333333372</v>
      </c>
      <c r="I27" s="40">
        <f t="shared" si="0"/>
        <v>45473</v>
      </c>
      <c r="J27" s="496"/>
      <c r="K27" s="442"/>
    </row>
    <row r="28" spans="2:11" outlineLevel="1" x14ac:dyDescent="0.25">
      <c r="B28" s="526">
        <v>45412</v>
      </c>
      <c r="C28" s="527"/>
      <c r="D28" s="528"/>
      <c r="E28" s="528">
        <v>250</v>
      </c>
      <c r="F28" s="529" t="s">
        <v>648</v>
      </c>
      <c r="G28" s="461"/>
      <c r="H28" s="530">
        <f t="shared" si="1"/>
        <v>66333.333333333372</v>
      </c>
      <c r="I28" s="40">
        <f t="shared" si="0"/>
        <v>45473</v>
      </c>
      <c r="K28" s="533"/>
    </row>
    <row r="29" spans="2:11" outlineLevel="1" x14ac:dyDescent="0.25">
      <c r="B29" s="526">
        <v>45412</v>
      </c>
      <c r="C29" s="527"/>
      <c r="D29" s="528"/>
      <c r="E29" s="528">
        <v>833.33333333333337</v>
      </c>
      <c r="F29" s="529" t="s">
        <v>660</v>
      </c>
      <c r="G29" s="461"/>
      <c r="H29" s="530">
        <f t="shared" si="1"/>
        <v>65500.000000000036</v>
      </c>
      <c r="I29" s="40">
        <f t="shared" si="0"/>
        <v>45473</v>
      </c>
      <c r="K29" s="533"/>
    </row>
    <row r="30" spans="2:11" outlineLevel="1" x14ac:dyDescent="0.25">
      <c r="B30" s="526">
        <v>45412</v>
      </c>
      <c r="C30" s="527"/>
      <c r="D30" s="528"/>
      <c r="E30" s="528">
        <v>2500</v>
      </c>
      <c r="F30" s="529" t="s">
        <v>728</v>
      </c>
      <c r="G30" s="461"/>
      <c r="H30" s="530">
        <f t="shared" si="1"/>
        <v>63000.000000000036</v>
      </c>
      <c r="I30" s="40">
        <f t="shared" si="0"/>
        <v>45473</v>
      </c>
      <c r="J30" s="496"/>
      <c r="K30" s="442"/>
    </row>
    <row r="31" spans="2:11" outlineLevel="1" x14ac:dyDescent="0.25">
      <c r="B31" s="526">
        <v>45412</v>
      </c>
      <c r="C31" s="527"/>
      <c r="D31" s="528">
        <v>18333.333333333332</v>
      </c>
      <c r="E31" s="528"/>
      <c r="F31" s="529" t="s">
        <v>672</v>
      </c>
      <c r="G31" s="461"/>
      <c r="H31" s="530">
        <f t="shared" si="1"/>
        <v>81333.333333333372</v>
      </c>
      <c r="I31" s="40">
        <f t="shared" si="0"/>
        <v>45473</v>
      </c>
      <c r="J31" s="496"/>
      <c r="K31" s="442"/>
    </row>
    <row r="32" spans="2:11" outlineLevel="1" x14ac:dyDescent="0.25">
      <c r="B32" s="526">
        <v>45413</v>
      </c>
      <c r="C32" s="527"/>
      <c r="D32" s="528"/>
      <c r="E32" s="528">
        <v>4000000</v>
      </c>
      <c r="F32" s="529" t="s">
        <v>615</v>
      </c>
      <c r="G32" s="461"/>
      <c r="H32" s="530">
        <f t="shared" si="1"/>
        <v>-3918666.6666666665</v>
      </c>
      <c r="I32" s="40">
        <f t="shared" si="0"/>
        <v>45473</v>
      </c>
      <c r="J32" s="496"/>
      <c r="K32" s="442"/>
    </row>
    <row r="33" spans="2:11" outlineLevel="1" x14ac:dyDescent="0.25">
      <c r="B33" s="526">
        <v>45413</v>
      </c>
      <c r="C33" s="527"/>
      <c r="D33" s="528"/>
      <c r="E33" s="528">
        <v>2000000</v>
      </c>
      <c r="F33" s="529" t="s">
        <v>616</v>
      </c>
      <c r="G33" s="461"/>
      <c r="H33" s="530">
        <f t="shared" si="1"/>
        <v>-5918666.666666666</v>
      </c>
      <c r="I33" s="40">
        <f t="shared" si="0"/>
        <v>45473</v>
      </c>
      <c r="J33" s="496"/>
      <c r="K33" s="442"/>
    </row>
    <row r="34" spans="2:11" outlineLevel="1" x14ac:dyDescent="0.25">
      <c r="B34" s="526">
        <v>45413</v>
      </c>
      <c r="C34" s="527"/>
      <c r="D34" s="528"/>
      <c r="E34" s="528">
        <v>3000000</v>
      </c>
      <c r="F34" s="529" t="s">
        <v>617</v>
      </c>
      <c r="G34" s="461"/>
      <c r="H34" s="530">
        <f t="shared" si="1"/>
        <v>-8918666.666666666</v>
      </c>
      <c r="I34" s="40">
        <f t="shared" si="0"/>
        <v>45473</v>
      </c>
      <c r="J34" s="496"/>
      <c r="K34" s="442"/>
    </row>
    <row r="35" spans="2:11" outlineLevel="1" x14ac:dyDescent="0.25">
      <c r="B35" s="526">
        <v>45443</v>
      </c>
      <c r="C35" s="527"/>
      <c r="D35" s="528">
        <v>9400000</v>
      </c>
      <c r="E35" s="528"/>
      <c r="F35" s="529" t="s">
        <v>612</v>
      </c>
      <c r="G35" s="461"/>
      <c r="H35" s="530">
        <f t="shared" si="1"/>
        <v>481333.33333333395</v>
      </c>
      <c r="I35" s="40">
        <f t="shared" ref="I35:I66" si="2">EOMONTH(B35,CEILING(MONTH(B35),3)-MONTH(B35))</f>
        <v>45473</v>
      </c>
      <c r="J35" s="496"/>
      <c r="K35" s="442"/>
    </row>
    <row r="36" spans="2:11" outlineLevel="1" x14ac:dyDescent="0.25">
      <c r="B36" s="526">
        <v>45443</v>
      </c>
      <c r="C36" s="527"/>
      <c r="D36" s="528"/>
      <c r="E36" s="528">
        <v>1666.6666666666667</v>
      </c>
      <c r="F36" s="529" t="s">
        <v>625</v>
      </c>
      <c r="G36" s="461"/>
      <c r="H36" s="530">
        <f t="shared" si="1"/>
        <v>479666.66666666727</v>
      </c>
      <c r="I36" s="40">
        <f t="shared" si="2"/>
        <v>45473</v>
      </c>
      <c r="J36" s="496"/>
      <c r="K36" s="442"/>
    </row>
    <row r="37" spans="2:11" outlineLevel="1" x14ac:dyDescent="0.25">
      <c r="B37" s="526">
        <v>45443</v>
      </c>
      <c r="C37" s="527"/>
      <c r="D37" s="528"/>
      <c r="E37" s="528">
        <v>666.66666666666663</v>
      </c>
      <c r="F37" s="529" t="s">
        <v>637</v>
      </c>
      <c r="G37" s="461"/>
      <c r="H37" s="530">
        <f t="shared" si="1"/>
        <v>479000.00000000058</v>
      </c>
      <c r="I37" s="40">
        <f t="shared" si="2"/>
        <v>45473</v>
      </c>
      <c r="J37" s="496"/>
      <c r="K37" s="442"/>
    </row>
    <row r="38" spans="2:11" outlineLevel="1" x14ac:dyDescent="0.25">
      <c r="B38" s="526">
        <v>45443</v>
      </c>
      <c r="C38" s="527"/>
      <c r="D38" s="528"/>
      <c r="E38" s="528">
        <v>250</v>
      </c>
      <c r="F38" s="529" t="s">
        <v>649</v>
      </c>
      <c r="G38" s="461"/>
      <c r="H38" s="530">
        <f t="shared" si="1"/>
        <v>478750.00000000058</v>
      </c>
      <c r="I38" s="40">
        <f t="shared" si="2"/>
        <v>45473</v>
      </c>
      <c r="J38" s="496"/>
      <c r="K38" s="442"/>
    </row>
    <row r="39" spans="2:11" outlineLevel="1" x14ac:dyDescent="0.25">
      <c r="B39" s="526">
        <v>45443</v>
      </c>
      <c r="C39" s="527"/>
      <c r="D39" s="528"/>
      <c r="E39" s="528">
        <v>833.33333333333337</v>
      </c>
      <c r="F39" s="529" t="s">
        <v>661</v>
      </c>
      <c r="G39" s="461"/>
      <c r="H39" s="530">
        <f t="shared" si="1"/>
        <v>477916.66666666727</v>
      </c>
      <c r="I39" s="40">
        <f t="shared" si="2"/>
        <v>45473</v>
      </c>
      <c r="J39" s="496"/>
      <c r="K39" s="442"/>
    </row>
    <row r="40" spans="2:11" outlineLevel="1" x14ac:dyDescent="0.25">
      <c r="B40" s="526">
        <v>45443</v>
      </c>
      <c r="C40" s="527"/>
      <c r="D40" s="528"/>
      <c r="E40" s="528">
        <v>2500</v>
      </c>
      <c r="F40" s="529" t="s">
        <v>729</v>
      </c>
      <c r="G40" s="461"/>
      <c r="H40" s="530">
        <f t="shared" si="1"/>
        <v>475416.66666666727</v>
      </c>
      <c r="I40" s="40">
        <f t="shared" si="2"/>
        <v>45473</v>
      </c>
      <c r="K40" s="533"/>
    </row>
    <row r="41" spans="2:11" outlineLevel="1" x14ac:dyDescent="0.25">
      <c r="B41" s="526">
        <v>45443</v>
      </c>
      <c r="C41" s="527"/>
      <c r="D41" s="528">
        <v>18333.333333333332</v>
      </c>
      <c r="E41" s="528"/>
      <c r="F41" s="529" t="s">
        <v>673</v>
      </c>
      <c r="G41" s="461"/>
      <c r="H41" s="530">
        <f t="shared" si="1"/>
        <v>493750.00000000058</v>
      </c>
      <c r="I41" s="40">
        <f t="shared" si="2"/>
        <v>45473</v>
      </c>
      <c r="J41" s="496"/>
      <c r="K41" s="442"/>
    </row>
    <row r="42" spans="2:11" outlineLevel="1" x14ac:dyDescent="0.25">
      <c r="B42" s="526">
        <v>45473</v>
      </c>
      <c r="C42" s="527"/>
      <c r="D42" s="528"/>
      <c r="E42" s="528">
        <v>1666.6666666666667</v>
      </c>
      <c r="F42" s="529" t="s">
        <v>626</v>
      </c>
      <c r="G42" s="461"/>
      <c r="H42" s="530">
        <f t="shared" si="1"/>
        <v>492083.3333333339</v>
      </c>
      <c r="I42" s="40">
        <f t="shared" si="2"/>
        <v>45473</v>
      </c>
      <c r="J42" s="496"/>
      <c r="K42" s="442"/>
    </row>
    <row r="43" spans="2:11" outlineLevel="1" x14ac:dyDescent="0.25">
      <c r="B43" s="526">
        <v>45473</v>
      </c>
      <c r="C43" s="527"/>
      <c r="D43" s="528"/>
      <c r="E43" s="528">
        <v>666.66666666666663</v>
      </c>
      <c r="F43" s="529" t="s">
        <v>638</v>
      </c>
      <c r="G43" s="461"/>
      <c r="H43" s="530">
        <f t="shared" si="1"/>
        <v>491416.66666666721</v>
      </c>
      <c r="I43" s="40">
        <f t="shared" si="2"/>
        <v>45473</v>
      </c>
      <c r="J43" s="496"/>
      <c r="K43" s="442"/>
    </row>
    <row r="44" spans="2:11" outlineLevel="1" x14ac:dyDescent="0.25">
      <c r="B44" s="526">
        <v>45473</v>
      </c>
      <c r="C44" s="527"/>
      <c r="D44" s="528"/>
      <c r="E44" s="528">
        <v>250</v>
      </c>
      <c r="F44" s="529" t="s">
        <v>650</v>
      </c>
      <c r="G44" s="461"/>
      <c r="H44" s="530">
        <f t="shared" si="1"/>
        <v>491166.66666666721</v>
      </c>
      <c r="I44" s="40">
        <f t="shared" si="2"/>
        <v>45473</v>
      </c>
      <c r="J44" s="496"/>
      <c r="K44" s="442"/>
    </row>
    <row r="45" spans="2:11" outlineLevel="1" x14ac:dyDescent="0.25">
      <c r="B45" s="526">
        <v>45473</v>
      </c>
      <c r="C45" s="527"/>
      <c r="D45" s="528"/>
      <c r="E45" s="528">
        <v>833.33333333333337</v>
      </c>
      <c r="F45" s="529" t="s">
        <v>662</v>
      </c>
      <c r="G45" s="461"/>
      <c r="H45" s="530">
        <f t="shared" si="1"/>
        <v>490333.3333333339</v>
      </c>
      <c r="I45" s="40">
        <f t="shared" si="2"/>
        <v>45473</v>
      </c>
      <c r="J45" s="496"/>
      <c r="K45" s="442"/>
    </row>
    <row r="46" spans="2:11" outlineLevel="1" x14ac:dyDescent="0.25">
      <c r="B46" s="526">
        <v>45473</v>
      </c>
      <c r="C46" s="527"/>
      <c r="D46" s="528"/>
      <c r="E46" s="528">
        <v>2500</v>
      </c>
      <c r="F46" s="529" t="s">
        <v>730</v>
      </c>
      <c r="G46" s="461"/>
      <c r="H46" s="530">
        <f t="shared" si="1"/>
        <v>487833.3333333339</v>
      </c>
      <c r="I46" s="40">
        <f t="shared" si="2"/>
        <v>45473</v>
      </c>
      <c r="J46" s="496"/>
      <c r="K46" s="442"/>
    </row>
    <row r="47" spans="2:11" outlineLevel="1" x14ac:dyDescent="0.25">
      <c r="B47" s="526">
        <v>45473</v>
      </c>
      <c r="C47" s="527"/>
      <c r="D47" s="528">
        <v>18333.333333333332</v>
      </c>
      <c r="E47" s="528"/>
      <c r="F47" s="529" t="s">
        <v>674</v>
      </c>
      <c r="G47" s="461"/>
      <c r="H47" s="530">
        <f t="shared" si="1"/>
        <v>506166.66666666721</v>
      </c>
      <c r="I47" s="40">
        <f t="shared" si="2"/>
        <v>45473</v>
      </c>
      <c r="K47" s="533"/>
    </row>
    <row r="48" spans="2:11" outlineLevel="1" x14ac:dyDescent="0.25">
      <c r="B48" s="526">
        <v>45473</v>
      </c>
      <c r="C48" s="527"/>
      <c r="D48" s="528">
        <v>8333.3333333333339</v>
      </c>
      <c r="E48" s="528"/>
      <c r="F48" s="529" t="s">
        <v>681</v>
      </c>
      <c r="G48" s="461"/>
      <c r="H48" s="530">
        <f t="shared" si="1"/>
        <v>514500.00000000052</v>
      </c>
      <c r="I48" s="40">
        <f t="shared" si="2"/>
        <v>45473</v>
      </c>
      <c r="K48" s="533"/>
    </row>
    <row r="49" spans="2:11" outlineLevel="1" x14ac:dyDescent="0.25">
      <c r="B49" s="526">
        <v>45473</v>
      </c>
      <c r="C49" s="527"/>
      <c r="D49" s="528">
        <v>62672.730922861701</v>
      </c>
      <c r="E49" s="528"/>
      <c r="F49" s="529" t="s">
        <v>683</v>
      </c>
      <c r="G49" s="461"/>
      <c r="H49" s="530">
        <f t="shared" si="1"/>
        <v>577172.73092286219</v>
      </c>
      <c r="I49" s="40">
        <f t="shared" si="2"/>
        <v>45473</v>
      </c>
      <c r="K49" s="533"/>
    </row>
    <row r="50" spans="2:11" outlineLevel="1" x14ac:dyDescent="0.25">
      <c r="B50" s="526">
        <v>45473</v>
      </c>
      <c r="C50" s="527"/>
      <c r="D50" s="528">
        <v>71369.790259076195</v>
      </c>
      <c r="E50" s="528"/>
      <c r="F50" s="529" t="s">
        <v>690</v>
      </c>
      <c r="G50" s="461"/>
      <c r="H50" s="530">
        <f t="shared" si="1"/>
        <v>648542.52118193835</v>
      </c>
      <c r="I50" s="40">
        <f t="shared" si="2"/>
        <v>45473</v>
      </c>
      <c r="K50" s="533"/>
    </row>
    <row r="51" spans="2:11" x14ac:dyDescent="0.25">
      <c r="B51" s="498">
        <v>45473</v>
      </c>
      <c r="C51" s="499"/>
      <c r="D51" s="500"/>
      <c r="E51" s="500">
        <v>75000</v>
      </c>
      <c r="F51" s="501" t="s">
        <v>698</v>
      </c>
      <c r="G51" s="502"/>
      <c r="H51" s="503">
        <f t="shared" si="1"/>
        <v>573542.52118193835</v>
      </c>
      <c r="I51" s="504">
        <f t="shared" si="2"/>
        <v>45473</v>
      </c>
      <c r="J51" s="496">
        <f>+'Balance Sheet'!F11</f>
        <v>573542.52118193777</v>
      </c>
      <c r="K51" s="442">
        <f>+J51-H51</f>
        <v>0</v>
      </c>
    </row>
    <row r="52" spans="2:11" outlineLevel="1" x14ac:dyDescent="0.25">
      <c r="B52" s="526">
        <v>45504</v>
      </c>
      <c r="C52" s="527"/>
      <c r="D52" s="528"/>
      <c r="E52" s="528">
        <v>1666.6666666666667</v>
      </c>
      <c r="F52" s="529" t="s">
        <v>627</v>
      </c>
      <c r="G52" s="461"/>
      <c r="H52" s="530">
        <f t="shared" si="1"/>
        <v>571875.85451527173</v>
      </c>
      <c r="I52" s="40">
        <f t="shared" si="2"/>
        <v>45565</v>
      </c>
      <c r="J52" s="496"/>
      <c r="K52" s="442"/>
    </row>
    <row r="53" spans="2:11" outlineLevel="1" x14ac:dyDescent="0.25">
      <c r="B53" s="526">
        <v>45504</v>
      </c>
      <c r="C53" s="527"/>
      <c r="D53" s="528"/>
      <c r="E53" s="528">
        <v>666.66666666666663</v>
      </c>
      <c r="F53" s="529" t="s">
        <v>639</v>
      </c>
      <c r="G53" s="461"/>
      <c r="H53" s="530">
        <f t="shared" si="1"/>
        <v>571209.1878486051</v>
      </c>
      <c r="I53" s="40">
        <f t="shared" si="2"/>
        <v>45565</v>
      </c>
      <c r="K53" s="533"/>
    </row>
    <row r="54" spans="2:11" outlineLevel="1" x14ac:dyDescent="0.25">
      <c r="B54" s="526">
        <v>45504</v>
      </c>
      <c r="C54" s="527"/>
      <c r="D54" s="528"/>
      <c r="E54" s="528">
        <v>250</v>
      </c>
      <c r="F54" s="529" t="s">
        <v>651</v>
      </c>
      <c r="G54" s="461"/>
      <c r="H54" s="530">
        <f t="shared" si="1"/>
        <v>570959.1878486051</v>
      </c>
      <c r="I54" s="40">
        <f t="shared" si="2"/>
        <v>45565</v>
      </c>
      <c r="K54" s="533"/>
    </row>
    <row r="55" spans="2:11" outlineLevel="1" x14ac:dyDescent="0.25">
      <c r="B55" s="526">
        <v>45504</v>
      </c>
      <c r="C55" s="527"/>
      <c r="D55" s="528"/>
      <c r="E55" s="528">
        <v>833.33333333333337</v>
      </c>
      <c r="F55" s="529" t="s">
        <v>663</v>
      </c>
      <c r="G55" s="461"/>
      <c r="H55" s="530">
        <f t="shared" si="1"/>
        <v>570125.85451527173</v>
      </c>
      <c r="I55" s="40">
        <f t="shared" si="2"/>
        <v>45565</v>
      </c>
      <c r="K55" s="533"/>
    </row>
    <row r="56" spans="2:11" outlineLevel="1" x14ac:dyDescent="0.25">
      <c r="B56" s="526">
        <v>45504</v>
      </c>
      <c r="C56" s="527"/>
      <c r="D56" s="528"/>
      <c r="E56" s="528">
        <v>2500</v>
      </c>
      <c r="F56" s="529" t="s">
        <v>731</v>
      </c>
      <c r="G56" s="461"/>
      <c r="H56" s="530">
        <f t="shared" si="1"/>
        <v>567625.85451527173</v>
      </c>
      <c r="I56" s="40">
        <f t="shared" si="2"/>
        <v>45565</v>
      </c>
      <c r="J56" s="496"/>
      <c r="K56" s="442"/>
    </row>
    <row r="57" spans="2:11" outlineLevel="1" x14ac:dyDescent="0.25">
      <c r="B57" s="526">
        <v>45504</v>
      </c>
      <c r="C57" s="527"/>
      <c r="D57" s="528">
        <v>18333.333333333332</v>
      </c>
      <c r="E57" s="528"/>
      <c r="F57" s="529" t="s">
        <v>675</v>
      </c>
      <c r="G57" s="461"/>
      <c r="H57" s="530">
        <f t="shared" si="1"/>
        <v>585959.1878486051</v>
      </c>
      <c r="I57" s="40">
        <f t="shared" si="2"/>
        <v>45565</v>
      </c>
      <c r="J57" s="496"/>
      <c r="K57" s="442"/>
    </row>
    <row r="58" spans="2:11" outlineLevel="1" x14ac:dyDescent="0.25">
      <c r="B58" s="526">
        <v>45504</v>
      </c>
      <c r="C58" s="527"/>
      <c r="D58" s="528">
        <v>62672.730922861701</v>
      </c>
      <c r="E58" s="528"/>
      <c r="F58" s="529" t="s">
        <v>684</v>
      </c>
      <c r="G58" s="461"/>
      <c r="H58" s="530">
        <f t="shared" si="1"/>
        <v>648631.91877146682</v>
      </c>
      <c r="I58" s="40">
        <f t="shared" si="2"/>
        <v>45565</v>
      </c>
      <c r="J58" s="496"/>
      <c r="K58" s="442"/>
    </row>
    <row r="59" spans="2:11" outlineLevel="1" x14ac:dyDescent="0.25">
      <c r="B59" s="526">
        <v>45504</v>
      </c>
      <c r="C59" s="527"/>
      <c r="D59" s="528">
        <v>71369.790259076195</v>
      </c>
      <c r="E59" s="528"/>
      <c r="F59" s="529" t="s">
        <v>691</v>
      </c>
      <c r="G59" s="461"/>
      <c r="H59" s="530">
        <f t="shared" si="1"/>
        <v>720001.70903054299</v>
      </c>
      <c r="I59" s="40">
        <f t="shared" si="2"/>
        <v>45565</v>
      </c>
      <c r="J59" s="496"/>
      <c r="K59" s="442"/>
    </row>
    <row r="60" spans="2:11" outlineLevel="1" x14ac:dyDescent="0.25">
      <c r="B60" s="526">
        <v>45535</v>
      </c>
      <c r="C60" s="527"/>
      <c r="D60" s="528"/>
      <c r="E60" s="528">
        <v>1666.6666666666667</v>
      </c>
      <c r="F60" s="529" t="s">
        <v>628</v>
      </c>
      <c r="G60" s="461"/>
      <c r="H60" s="530">
        <f t="shared" si="1"/>
        <v>718335.04236387636</v>
      </c>
      <c r="I60" s="40">
        <f t="shared" si="2"/>
        <v>45565</v>
      </c>
      <c r="J60" s="496"/>
      <c r="K60" s="442"/>
    </row>
    <row r="61" spans="2:11" outlineLevel="1" x14ac:dyDescent="0.25">
      <c r="B61" s="526">
        <v>45535</v>
      </c>
      <c r="C61" s="527"/>
      <c r="D61" s="528"/>
      <c r="E61" s="528">
        <v>666.66666666666663</v>
      </c>
      <c r="F61" s="529" t="s">
        <v>640</v>
      </c>
      <c r="G61" s="461"/>
      <c r="H61" s="530">
        <f t="shared" si="1"/>
        <v>717668.37569720973</v>
      </c>
      <c r="I61" s="40">
        <f t="shared" si="2"/>
        <v>45565</v>
      </c>
      <c r="J61" s="496"/>
      <c r="K61" s="442"/>
    </row>
    <row r="62" spans="2:11" outlineLevel="1" x14ac:dyDescent="0.25">
      <c r="B62" s="526">
        <v>45535</v>
      </c>
      <c r="C62" s="527"/>
      <c r="D62" s="528"/>
      <c r="E62" s="528">
        <v>250</v>
      </c>
      <c r="F62" s="529" t="s">
        <v>652</v>
      </c>
      <c r="G62" s="461"/>
      <c r="H62" s="530">
        <f t="shared" si="1"/>
        <v>717418.37569720973</v>
      </c>
      <c r="I62" s="40">
        <f t="shared" si="2"/>
        <v>45565</v>
      </c>
      <c r="K62" s="533"/>
    </row>
    <row r="63" spans="2:11" outlineLevel="1" x14ac:dyDescent="0.25">
      <c r="B63" s="526">
        <v>45535</v>
      </c>
      <c r="C63" s="527"/>
      <c r="D63" s="528"/>
      <c r="E63" s="528">
        <v>833.33333333333337</v>
      </c>
      <c r="F63" s="529" t="s">
        <v>664</v>
      </c>
      <c r="G63" s="461"/>
      <c r="H63" s="530">
        <f t="shared" si="1"/>
        <v>716585.04236387636</v>
      </c>
      <c r="I63" s="40">
        <f t="shared" si="2"/>
        <v>45565</v>
      </c>
      <c r="J63" s="496"/>
      <c r="K63" s="442"/>
    </row>
    <row r="64" spans="2:11" outlineLevel="1" x14ac:dyDescent="0.25">
      <c r="B64" s="526">
        <v>45535</v>
      </c>
      <c r="C64" s="527"/>
      <c r="D64" s="528"/>
      <c r="E64" s="528">
        <v>2500</v>
      </c>
      <c r="F64" s="529" t="s">
        <v>732</v>
      </c>
      <c r="G64" s="461"/>
      <c r="H64" s="530">
        <f t="shared" si="1"/>
        <v>714085.04236387636</v>
      </c>
      <c r="I64" s="40">
        <f t="shared" si="2"/>
        <v>45565</v>
      </c>
      <c r="J64" s="496"/>
      <c r="K64" s="442"/>
    </row>
    <row r="65" spans="2:11" outlineLevel="1" x14ac:dyDescent="0.25">
      <c r="B65" s="526">
        <v>45535</v>
      </c>
      <c r="C65" s="527"/>
      <c r="D65" s="528">
        <v>18333.333333333332</v>
      </c>
      <c r="E65" s="528"/>
      <c r="F65" s="529" t="s">
        <v>676</v>
      </c>
      <c r="G65" s="461"/>
      <c r="H65" s="530">
        <f t="shared" si="1"/>
        <v>732418.37569720973</v>
      </c>
      <c r="I65" s="40">
        <f t="shared" si="2"/>
        <v>45565</v>
      </c>
      <c r="J65" s="496"/>
      <c r="K65" s="442"/>
    </row>
    <row r="66" spans="2:11" outlineLevel="1" x14ac:dyDescent="0.25">
      <c r="B66" s="526">
        <v>45535</v>
      </c>
      <c r="C66" s="527"/>
      <c r="D66" s="528">
        <v>62672.730922861701</v>
      </c>
      <c r="E66" s="528"/>
      <c r="F66" s="529" t="s">
        <v>685</v>
      </c>
      <c r="G66" s="461"/>
      <c r="H66" s="530">
        <f t="shared" si="1"/>
        <v>795091.10662007146</v>
      </c>
      <c r="I66" s="40">
        <f t="shared" si="2"/>
        <v>45565</v>
      </c>
      <c r="J66" s="496"/>
      <c r="K66" s="442"/>
    </row>
    <row r="67" spans="2:11" outlineLevel="1" x14ac:dyDescent="0.25">
      <c r="B67" s="526">
        <v>45535</v>
      </c>
      <c r="C67" s="527"/>
      <c r="D67" s="528">
        <v>71369.790259076195</v>
      </c>
      <c r="E67" s="528"/>
      <c r="F67" s="529" t="s">
        <v>692</v>
      </c>
      <c r="G67" s="461"/>
      <c r="H67" s="530">
        <f t="shared" si="1"/>
        <v>866460.89687914762</v>
      </c>
      <c r="I67" s="40">
        <f t="shared" ref="I67:I98" si="3">EOMONTH(B67,CEILING(MONTH(B67),3)-MONTH(B67))</f>
        <v>45565</v>
      </c>
      <c r="J67" s="496"/>
      <c r="K67" s="442"/>
    </row>
    <row r="68" spans="2:11" outlineLevel="1" x14ac:dyDescent="0.25">
      <c r="B68" s="526">
        <v>45565</v>
      </c>
      <c r="C68" s="527"/>
      <c r="D68" s="528"/>
      <c r="E68" s="528">
        <v>1666.6666666666667</v>
      </c>
      <c r="F68" s="529" t="s">
        <v>629</v>
      </c>
      <c r="G68" s="461"/>
      <c r="H68" s="530">
        <f t="shared" si="1"/>
        <v>864794.23021248099</v>
      </c>
      <c r="I68" s="40">
        <f t="shared" si="3"/>
        <v>45565</v>
      </c>
      <c r="J68" s="496"/>
      <c r="K68" s="442"/>
    </row>
    <row r="69" spans="2:11" outlineLevel="1" x14ac:dyDescent="0.25">
      <c r="B69" s="526">
        <v>45565</v>
      </c>
      <c r="C69" s="527"/>
      <c r="D69" s="528"/>
      <c r="E69" s="528">
        <v>666.66666666666663</v>
      </c>
      <c r="F69" s="529" t="s">
        <v>641</v>
      </c>
      <c r="G69" s="461"/>
      <c r="H69" s="530">
        <f t="shared" ref="H69:H107" si="4">+D69-E69+H68</f>
        <v>864127.56354581437</v>
      </c>
      <c r="I69" s="40">
        <f t="shared" si="3"/>
        <v>45565</v>
      </c>
      <c r="J69" s="496"/>
      <c r="K69" s="442"/>
    </row>
    <row r="70" spans="2:11" outlineLevel="1" x14ac:dyDescent="0.25">
      <c r="B70" s="526">
        <v>45565</v>
      </c>
      <c r="C70" s="527"/>
      <c r="D70" s="528"/>
      <c r="E70" s="528">
        <v>250</v>
      </c>
      <c r="F70" s="529" t="s">
        <v>653</v>
      </c>
      <c r="G70" s="461"/>
      <c r="H70" s="530">
        <f t="shared" si="4"/>
        <v>863877.56354581437</v>
      </c>
      <c r="I70" s="40">
        <f t="shared" si="3"/>
        <v>45565</v>
      </c>
      <c r="J70" s="496"/>
      <c r="K70" s="442"/>
    </row>
    <row r="71" spans="2:11" outlineLevel="1" x14ac:dyDescent="0.25">
      <c r="B71" s="526">
        <v>45565</v>
      </c>
      <c r="C71" s="527"/>
      <c r="D71" s="528"/>
      <c r="E71" s="528">
        <v>833.33333333333337</v>
      </c>
      <c r="F71" s="529" t="s">
        <v>665</v>
      </c>
      <c r="G71" s="461"/>
      <c r="H71" s="530">
        <f t="shared" si="4"/>
        <v>863044.23021248099</v>
      </c>
      <c r="I71" s="40">
        <f t="shared" si="3"/>
        <v>45565</v>
      </c>
      <c r="J71" s="496"/>
      <c r="K71" s="442"/>
    </row>
    <row r="72" spans="2:11" outlineLevel="1" x14ac:dyDescent="0.25">
      <c r="B72" s="526">
        <v>45565</v>
      </c>
      <c r="C72" s="527"/>
      <c r="D72" s="528"/>
      <c r="E72" s="528">
        <v>2500</v>
      </c>
      <c r="F72" s="529" t="s">
        <v>733</v>
      </c>
      <c r="G72" s="461"/>
      <c r="H72" s="530">
        <f t="shared" si="4"/>
        <v>860544.23021248099</v>
      </c>
      <c r="I72" s="40">
        <f t="shared" si="3"/>
        <v>45565</v>
      </c>
      <c r="J72" s="496"/>
      <c r="K72" s="442"/>
    </row>
    <row r="73" spans="2:11" outlineLevel="1" x14ac:dyDescent="0.25">
      <c r="B73" s="526">
        <v>45565</v>
      </c>
      <c r="C73" s="527"/>
      <c r="D73" s="528">
        <v>18333.333333333332</v>
      </c>
      <c r="E73" s="528"/>
      <c r="F73" s="529" t="s">
        <v>677</v>
      </c>
      <c r="G73" s="461"/>
      <c r="H73" s="530">
        <f t="shared" si="4"/>
        <v>878877.56354581437</v>
      </c>
      <c r="I73" s="40">
        <f t="shared" si="3"/>
        <v>45565</v>
      </c>
      <c r="J73" s="496"/>
      <c r="K73" s="442"/>
    </row>
    <row r="74" spans="2:11" outlineLevel="1" x14ac:dyDescent="0.25">
      <c r="B74" s="526">
        <v>45565</v>
      </c>
      <c r="C74" s="527"/>
      <c r="D74" s="528">
        <v>25000</v>
      </c>
      <c r="E74" s="528"/>
      <c r="F74" s="529" t="s">
        <v>682</v>
      </c>
      <c r="G74" s="461"/>
      <c r="H74" s="530">
        <f t="shared" si="4"/>
        <v>903877.56354581437</v>
      </c>
      <c r="I74" s="40">
        <f t="shared" si="3"/>
        <v>45565</v>
      </c>
      <c r="J74" s="496"/>
      <c r="K74" s="442"/>
    </row>
    <row r="75" spans="2:11" outlineLevel="1" x14ac:dyDescent="0.25">
      <c r="B75" s="526">
        <v>45565</v>
      </c>
      <c r="C75" s="527"/>
      <c r="D75" s="528">
        <v>62672.730922861701</v>
      </c>
      <c r="E75" s="528"/>
      <c r="F75" s="529" t="s">
        <v>686</v>
      </c>
      <c r="G75" s="461"/>
      <c r="H75" s="530">
        <f t="shared" si="4"/>
        <v>966550.29446867609</v>
      </c>
      <c r="I75" s="40">
        <f t="shared" si="3"/>
        <v>45565</v>
      </c>
      <c r="J75" s="496"/>
      <c r="K75" s="442"/>
    </row>
    <row r="76" spans="2:11" outlineLevel="1" x14ac:dyDescent="0.25">
      <c r="B76" s="526">
        <v>45565</v>
      </c>
      <c r="C76" s="527"/>
      <c r="D76" s="528">
        <v>71369.790259076195</v>
      </c>
      <c r="E76" s="528"/>
      <c r="F76" s="529" t="s">
        <v>693</v>
      </c>
      <c r="G76" s="461"/>
      <c r="H76" s="530">
        <f t="shared" si="4"/>
        <v>1037920.0847277523</v>
      </c>
      <c r="I76" s="40">
        <f t="shared" si="3"/>
        <v>45565</v>
      </c>
      <c r="J76" s="496"/>
      <c r="K76" s="442"/>
    </row>
    <row r="77" spans="2:11" x14ac:dyDescent="0.25">
      <c r="B77" s="498">
        <v>45565</v>
      </c>
      <c r="C77" s="499"/>
      <c r="D77" s="500"/>
      <c r="E77" s="500">
        <v>75000</v>
      </c>
      <c r="F77" s="501" t="s">
        <v>699</v>
      </c>
      <c r="G77" s="502"/>
      <c r="H77" s="503">
        <f t="shared" si="4"/>
        <v>962920.08472775226</v>
      </c>
      <c r="I77" s="504">
        <f t="shared" si="3"/>
        <v>45565</v>
      </c>
      <c r="J77" s="496">
        <f>+'Balance Sheet'!G11</f>
        <v>962920.08472775144</v>
      </c>
      <c r="K77" s="442">
        <f>+J77-H77</f>
        <v>0</v>
      </c>
    </row>
    <row r="78" spans="2:11" outlineLevel="1" x14ac:dyDescent="0.25">
      <c r="B78" s="526">
        <v>45596</v>
      </c>
      <c r="C78" s="527"/>
      <c r="D78" s="528"/>
      <c r="E78" s="528">
        <v>1666.6666666666667</v>
      </c>
      <c r="F78" s="529" t="s">
        <v>630</v>
      </c>
      <c r="G78" s="461"/>
      <c r="H78" s="530">
        <f t="shared" si="4"/>
        <v>961253.41806108563</v>
      </c>
      <c r="I78" s="40">
        <f t="shared" si="3"/>
        <v>45657</v>
      </c>
      <c r="J78" s="496"/>
      <c r="K78" s="442"/>
    </row>
    <row r="79" spans="2:11" outlineLevel="1" x14ac:dyDescent="0.25">
      <c r="B79" s="526">
        <v>45596</v>
      </c>
      <c r="C79" s="527"/>
      <c r="D79" s="528"/>
      <c r="E79" s="528">
        <v>666.66666666666663</v>
      </c>
      <c r="F79" s="529" t="s">
        <v>642</v>
      </c>
      <c r="G79" s="461"/>
      <c r="H79" s="530">
        <f t="shared" si="4"/>
        <v>960586.751394419</v>
      </c>
      <c r="I79" s="40">
        <f t="shared" si="3"/>
        <v>45657</v>
      </c>
      <c r="K79" s="533"/>
    </row>
    <row r="80" spans="2:11" outlineLevel="1" x14ac:dyDescent="0.25">
      <c r="B80" s="526">
        <v>45596</v>
      </c>
      <c r="C80" s="527"/>
      <c r="D80" s="528"/>
      <c r="E80" s="528">
        <v>250</v>
      </c>
      <c r="F80" s="529" t="s">
        <v>654</v>
      </c>
      <c r="G80" s="461"/>
      <c r="H80" s="530">
        <f t="shared" si="4"/>
        <v>960336.751394419</v>
      </c>
      <c r="I80" s="40">
        <f t="shared" si="3"/>
        <v>45657</v>
      </c>
      <c r="J80" s="496"/>
      <c r="K80" s="442"/>
    </row>
    <row r="81" spans="2:11" outlineLevel="1" x14ac:dyDescent="0.25">
      <c r="B81" s="526">
        <v>45596</v>
      </c>
      <c r="C81" s="527"/>
      <c r="D81" s="528"/>
      <c r="E81" s="528">
        <v>833.33333333333337</v>
      </c>
      <c r="F81" s="529" t="s">
        <v>666</v>
      </c>
      <c r="G81" s="461"/>
      <c r="H81" s="530">
        <f t="shared" si="4"/>
        <v>959503.41806108563</v>
      </c>
      <c r="I81" s="40">
        <f t="shared" si="3"/>
        <v>45657</v>
      </c>
      <c r="J81" s="496"/>
      <c r="K81" s="442"/>
    </row>
    <row r="82" spans="2:11" outlineLevel="1" x14ac:dyDescent="0.25">
      <c r="B82" s="526">
        <v>45596</v>
      </c>
      <c r="C82" s="527"/>
      <c r="D82" s="528"/>
      <c r="E82" s="528">
        <v>2500</v>
      </c>
      <c r="F82" s="529" t="s">
        <v>734</v>
      </c>
      <c r="G82" s="461"/>
      <c r="H82" s="530">
        <f t="shared" si="4"/>
        <v>957003.41806108563</v>
      </c>
      <c r="I82" s="40">
        <f t="shared" si="3"/>
        <v>45657</v>
      </c>
      <c r="J82" s="496"/>
      <c r="K82" s="442"/>
    </row>
    <row r="83" spans="2:11" outlineLevel="1" x14ac:dyDescent="0.25">
      <c r="B83" s="526">
        <v>45596</v>
      </c>
      <c r="C83" s="527"/>
      <c r="D83" s="528">
        <v>18333.333333333332</v>
      </c>
      <c r="E83" s="528"/>
      <c r="F83" s="529" t="s">
        <v>678</v>
      </c>
      <c r="G83" s="461"/>
      <c r="H83" s="530">
        <f t="shared" si="4"/>
        <v>975336.751394419</v>
      </c>
      <c r="I83" s="40">
        <f t="shared" si="3"/>
        <v>45657</v>
      </c>
      <c r="J83" s="496"/>
      <c r="K83" s="442"/>
    </row>
    <row r="84" spans="2:11" outlineLevel="1" x14ac:dyDescent="0.25">
      <c r="B84" s="526">
        <v>45596</v>
      </c>
      <c r="C84" s="527"/>
      <c r="D84" s="528">
        <v>62672.730922861701</v>
      </c>
      <c r="E84" s="528"/>
      <c r="F84" s="529" t="s">
        <v>687</v>
      </c>
      <c r="G84" s="461"/>
      <c r="H84" s="530">
        <f t="shared" si="4"/>
        <v>1038009.4823172807</v>
      </c>
      <c r="I84" s="40">
        <f t="shared" si="3"/>
        <v>45657</v>
      </c>
      <c r="J84" s="496"/>
      <c r="K84" s="442"/>
    </row>
    <row r="85" spans="2:11" outlineLevel="1" x14ac:dyDescent="0.25">
      <c r="B85" s="526">
        <v>45596</v>
      </c>
      <c r="C85" s="527"/>
      <c r="D85" s="528">
        <v>71369.790259076195</v>
      </c>
      <c r="E85" s="528"/>
      <c r="F85" s="529" t="s">
        <v>694</v>
      </c>
      <c r="G85" s="461"/>
      <c r="H85" s="530">
        <f t="shared" si="4"/>
        <v>1109379.272576357</v>
      </c>
      <c r="I85" s="40">
        <f t="shared" si="3"/>
        <v>45657</v>
      </c>
      <c r="J85" s="496"/>
      <c r="K85" s="442"/>
    </row>
    <row r="86" spans="2:11" outlineLevel="1" x14ac:dyDescent="0.25">
      <c r="B86" s="526">
        <v>45626</v>
      </c>
      <c r="C86" s="527"/>
      <c r="D86" s="528">
        <v>9200000</v>
      </c>
      <c r="E86" s="528"/>
      <c r="F86" s="529" t="s">
        <v>618</v>
      </c>
      <c r="G86" s="461"/>
      <c r="H86" s="530">
        <f t="shared" si="4"/>
        <v>10309379.272576356</v>
      </c>
      <c r="I86" s="40">
        <f t="shared" si="3"/>
        <v>45657</v>
      </c>
      <c r="J86" s="496"/>
      <c r="K86" s="442"/>
    </row>
    <row r="87" spans="2:11" outlineLevel="1" x14ac:dyDescent="0.25">
      <c r="B87" s="526">
        <v>45626</v>
      </c>
      <c r="C87" s="527"/>
      <c r="D87" s="528"/>
      <c r="E87" s="528">
        <v>1666.6666666666667</v>
      </c>
      <c r="F87" s="529" t="s">
        <v>631</v>
      </c>
      <c r="G87" s="461"/>
      <c r="H87" s="530">
        <f t="shared" si="4"/>
        <v>10307712.60590969</v>
      </c>
      <c r="I87" s="40">
        <f t="shared" si="3"/>
        <v>45657</v>
      </c>
      <c r="J87" s="496"/>
      <c r="K87" s="442"/>
    </row>
    <row r="88" spans="2:11" outlineLevel="1" x14ac:dyDescent="0.25">
      <c r="B88" s="526">
        <v>45626</v>
      </c>
      <c r="C88" s="527"/>
      <c r="D88" s="528"/>
      <c r="E88" s="528">
        <v>666.66666666666663</v>
      </c>
      <c r="F88" s="529" t="s">
        <v>643</v>
      </c>
      <c r="G88" s="461"/>
      <c r="H88" s="530">
        <f t="shared" si="4"/>
        <v>10307045.939243024</v>
      </c>
      <c r="I88" s="40">
        <f t="shared" si="3"/>
        <v>45657</v>
      </c>
      <c r="J88" s="496"/>
      <c r="K88" s="442"/>
    </row>
    <row r="89" spans="2:11" outlineLevel="1" x14ac:dyDescent="0.25">
      <c r="B89" s="526">
        <v>45626</v>
      </c>
      <c r="C89" s="527"/>
      <c r="D89" s="528"/>
      <c r="E89" s="528">
        <v>250</v>
      </c>
      <c r="F89" s="529" t="s">
        <v>655</v>
      </c>
      <c r="G89" s="461"/>
      <c r="H89" s="530">
        <f t="shared" si="4"/>
        <v>10306795.939243024</v>
      </c>
      <c r="I89" s="40">
        <f t="shared" si="3"/>
        <v>45657</v>
      </c>
      <c r="J89" s="496"/>
      <c r="K89" s="442"/>
    </row>
    <row r="90" spans="2:11" outlineLevel="1" x14ac:dyDescent="0.25">
      <c r="B90" s="526">
        <v>45626</v>
      </c>
      <c r="C90" s="527"/>
      <c r="D90" s="528"/>
      <c r="E90" s="528">
        <v>833.33333333333337</v>
      </c>
      <c r="F90" s="529" t="s">
        <v>667</v>
      </c>
      <c r="G90" s="461"/>
      <c r="H90" s="530">
        <f t="shared" si="4"/>
        <v>10305962.60590969</v>
      </c>
      <c r="I90" s="40">
        <f t="shared" si="3"/>
        <v>45657</v>
      </c>
      <c r="J90" s="496"/>
      <c r="K90" s="442"/>
    </row>
    <row r="91" spans="2:11" outlineLevel="1" x14ac:dyDescent="0.25">
      <c r="B91" s="526">
        <v>45626</v>
      </c>
      <c r="C91" s="527"/>
      <c r="D91" s="528"/>
      <c r="E91" s="528">
        <v>2500</v>
      </c>
      <c r="F91" s="529" t="s">
        <v>735</v>
      </c>
      <c r="G91" s="461"/>
      <c r="H91" s="530">
        <f t="shared" si="4"/>
        <v>10303462.60590969</v>
      </c>
      <c r="I91" s="40">
        <f t="shared" si="3"/>
        <v>45657</v>
      </c>
      <c r="J91" s="496"/>
      <c r="K91" s="442"/>
    </row>
    <row r="92" spans="2:11" outlineLevel="1" x14ac:dyDescent="0.25">
      <c r="B92" s="526">
        <v>45626</v>
      </c>
      <c r="C92" s="527"/>
      <c r="D92" s="528">
        <v>18333.333333333332</v>
      </c>
      <c r="E92" s="528"/>
      <c r="F92" s="529" t="s">
        <v>679</v>
      </c>
      <c r="G92" s="461"/>
      <c r="H92" s="530">
        <f t="shared" si="4"/>
        <v>10321795.939243024</v>
      </c>
      <c r="I92" s="40">
        <f t="shared" si="3"/>
        <v>45657</v>
      </c>
      <c r="J92" s="496"/>
      <c r="K92" s="442"/>
    </row>
    <row r="93" spans="2:11" outlineLevel="1" x14ac:dyDescent="0.25">
      <c r="B93" s="526">
        <v>45626</v>
      </c>
      <c r="C93" s="527"/>
      <c r="D93" s="528">
        <v>62672.730922861701</v>
      </c>
      <c r="E93" s="528"/>
      <c r="F93" s="529" t="s">
        <v>688</v>
      </c>
      <c r="G93" s="461"/>
      <c r="H93" s="530">
        <f t="shared" si="4"/>
        <v>10384468.670165885</v>
      </c>
      <c r="I93" s="40">
        <f t="shared" si="3"/>
        <v>45657</v>
      </c>
      <c r="J93" s="496"/>
      <c r="K93" s="442"/>
    </row>
    <row r="94" spans="2:11" outlineLevel="1" x14ac:dyDescent="0.25">
      <c r="B94" s="526">
        <v>45626</v>
      </c>
      <c r="C94" s="527"/>
      <c r="D94" s="528">
        <v>71369.790259076195</v>
      </c>
      <c r="E94" s="528"/>
      <c r="F94" s="529" t="s">
        <v>695</v>
      </c>
      <c r="G94" s="461"/>
      <c r="H94" s="530">
        <f t="shared" si="4"/>
        <v>10455838.460424962</v>
      </c>
      <c r="I94" s="40">
        <f t="shared" si="3"/>
        <v>45657</v>
      </c>
      <c r="J94" s="496"/>
      <c r="K94" s="442"/>
    </row>
    <row r="95" spans="2:11" outlineLevel="1" x14ac:dyDescent="0.25">
      <c r="B95" s="526">
        <v>45633</v>
      </c>
      <c r="C95" s="527"/>
      <c r="D95" s="528"/>
      <c r="E95" s="528">
        <v>7360000</v>
      </c>
      <c r="F95" s="529" t="s">
        <v>619</v>
      </c>
      <c r="G95" s="461"/>
      <c r="H95" s="530">
        <f t="shared" si="4"/>
        <v>3095838.4604249615</v>
      </c>
      <c r="I95" s="40">
        <f t="shared" si="3"/>
        <v>45657</v>
      </c>
      <c r="J95" s="496"/>
      <c r="K95" s="442"/>
    </row>
    <row r="96" spans="2:11" outlineLevel="1" x14ac:dyDescent="0.25">
      <c r="B96" s="526">
        <v>45657</v>
      </c>
      <c r="C96" s="527"/>
      <c r="D96" s="528">
        <v>2753833.0900729205</v>
      </c>
      <c r="E96" s="528"/>
      <c r="F96" s="529" t="s">
        <v>620</v>
      </c>
      <c r="G96" s="461"/>
      <c r="H96" s="530">
        <f t="shared" si="4"/>
        <v>5849671.5504978821</v>
      </c>
      <c r="I96" s="40">
        <f t="shared" si="3"/>
        <v>45657</v>
      </c>
      <c r="J96" s="496"/>
      <c r="K96" s="442"/>
    </row>
    <row r="97" spans="2:11" outlineLevel="1" x14ac:dyDescent="0.25">
      <c r="B97" s="526">
        <v>45657</v>
      </c>
      <c r="C97" s="527"/>
      <c r="D97" s="528"/>
      <c r="E97" s="528">
        <v>2753833.0900729205</v>
      </c>
      <c r="F97" s="529" t="s">
        <v>619</v>
      </c>
      <c r="G97" s="461"/>
      <c r="H97" s="530">
        <f t="shared" si="4"/>
        <v>3095838.4604249615</v>
      </c>
      <c r="I97" s="40">
        <f t="shared" si="3"/>
        <v>45657</v>
      </c>
      <c r="J97" s="496"/>
      <c r="K97" s="442"/>
    </row>
    <row r="98" spans="2:11" outlineLevel="1" x14ac:dyDescent="0.25">
      <c r="B98" s="526">
        <v>45657</v>
      </c>
      <c r="C98" s="527"/>
      <c r="D98" s="528"/>
      <c r="E98" s="528">
        <v>1666.6666666666667</v>
      </c>
      <c r="F98" s="529" t="s">
        <v>632</v>
      </c>
      <c r="G98" s="461"/>
      <c r="H98" s="530">
        <f t="shared" si="4"/>
        <v>3094171.793758295</v>
      </c>
      <c r="I98" s="40">
        <f t="shared" si="3"/>
        <v>45657</v>
      </c>
      <c r="J98" s="496"/>
      <c r="K98" s="442"/>
    </row>
    <row r="99" spans="2:11" outlineLevel="1" x14ac:dyDescent="0.25">
      <c r="B99" s="526">
        <v>45657</v>
      </c>
      <c r="C99" s="527"/>
      <c r="D99" s="528"/>
      <c r="E99" s="528">
        <v>666.66666666666663</v>
      </c>
      <c r="F99" s="529" t="s">
        <v>644</v>
      </c>
      <c r="G99" s="461"/>
      <c r="H99" s="530">
        <f t="shared" si="4"/>
        <v>3093505.1270916285</v>
      </c>
      <c r="I99" s="40">
        <f t="shared" ref="I99:I107" si="5">EOMONTH(B99,CEILING(MONTH(B99),3)-MONTH(B99))</f>
        <v>45657</v>
      </c>
      <c r="J99" s="496"/>
      <c r="K99" s="442"/>
    </row>
    <row r="100" spans="2:11" outlineLevel="1" x14ac:dyDescent="0.25">
      <c r="B100" s="526">
        <v>45657</v>
      </c>
      <c r="C100" s="527"/>
      <c r="D100" s="528"/>
      <c r="E100" s="528">
        <v>250</v>
      </c>
      <c r="F100" s="529" t="s">
        <v>656</v>
      </c>
      <c r="G100" s="461"/>
      <c r="H100" s="530">
        <f t="shared" si="4"/>
        <v>3093255.1270916285</v>
      </c>
      <c r="I100" s="40">
        <f t="shared" si="5"/>
        <v>45657</v>
      </c>
      <c r="J100" s="496"/>
      <c r="K100" s="442"/>
    </row>
    <row r="101" spans="2:11" outlineLevel="1" x14ac:dyDescent="0.25">
      <c r="B101" s="526">
        <v>45657</v>
      </c>
      <c r="C101" s="527"/>
      <c r="D101" s="528"/>
      <c r="E101" s="528">
        <v>833.33333333333337</v>
      </c>
      <c r="F101" s="529" t="s">
        <v>668</v>
      </c>
      <c r="G101" s="461"/>
      <c r="H101" s="530">
        <f t="shared" si="4"/>
        <v>3092421.793758295</v>
      </c>
      <c r="I101" s="40">
        <f t="shared" si="5"/>
        <v>45657</v>
      </c>
      <c r="J101" s="496"/>
      <c r="K101" s="442"/>
    </row>
    <row r="102" spans="2:11" outlineLevel="1" x14ac:dyDescent="0.25">
      <c r="B102" s="526">
        <v>45657</v>
      </c>
      <c r="C102" s="527"/>
      <c r="D102" s="528"/>
      <c r="E102" s="528">
        <v>2500</v>
      </c>
      <c r="F102" s="529" t="s">
        <v>736</v>
      </c>
      <c r="G102" s="461"/>
      <c r="H102" s="530">
        <f t="shared" si="4"/>
        <v>3089921.793758295</v>
      </c>
      <c r="I102" s="40">
        <f t="shared" si="5"/>
        <v>45657</v>
      </c>
      <c r="J102" s="496"/>
      <c r="K102" s="442"/>
    </row>
    <row r="103" spans="2:11" outlineLevel="1" x14ac:dyDescent="0.25">
      <c r="B103" s="526">
        <v>45657</v>
      </c>
      <c r="C103" s="527"/>
      <c r="D103" s="528">
        <v>18333.333333333332</v>
      </c>
      <c r="E103" s="528"/>
      <c r="F103" s="529" t="s">
        <v>680</v>
      </c>
      <c r="G103" s="461"/>
      <c r="H103" s="530">
        <f t="shared" si="4"/>
        <v>3108255.1270916285</v>
      </c>
      <c r="I103" s="40">
        <f t="shared" si="5"/>
        <v>45657</v>
      </c>
      <c r="J103" s="496"/>
      <c r="K103" s="442"/>
    </row>
    <row r="104" spans="2:11" outlineLevel="1" x14ac:dyDescent="0.25">
      <c r="B104" s="526">
        <v>45657</v>
      </c>
      <c r="C104" s="527"/>
      <c r="D104" s="528">
        <v>25000</v>
      </c>
      <c r="E104" s="528"/>
      <c r="F104" s="529" t="s">
        <v>682</v>
      </c>
      <c r="G104" s="461"/>
      <c r="H104" s="530">
        <f t="shared" si="4"/>
        <v>3133255.1270916285</v>
      </c>
      <c r="I104" s="40">
        <f t="shared" si="5"/>
        <v>45657</v>
      </c>
      <c r="J104" s="496"/>
      <c r="K104" s="442"/>
    </row>
    <row r="105" spans="2:11" outlineLevel="1" x14ac:dyDescent="0.25">
      <c r="B105" s="526">
        <v>45657</v>
      </c>
      <c r="C105" s="527"/>
      <c r="D105" s="528">
        <v>62672.730922861701</v>
      </c>
      <c r="E105" s="528"/>
      <c r="F105" s="529" t="s">
        <v>689</v>
      </c>
      <c r="G105" s="461"/>
      <c r="H105" s="530">
        <f t="shared" si="4"/>
        <v>3195927.85801449</v>
      </c>
      <c r="I105" s="40">
        <f t="shared" si="5"/>
        <v>45657</v>
      </c>
      <c r="J105" s="496"/>
      <c r="K105" s="442"/>
    </row>
    <row r="106" spans="2:11" outlineLevel="1" x14ac:dyDescent="0.25">
      <c r="B106" s="526">
        <v>45657</v>
      </c>
      <c r="C106" s="527"/>
      <c r="D106" s="528">
        <v>71369.790259076195</v>
      </c>
      <c r="E106" s="528"/>
      <c r="F106" s="529" t="s">
        <v>696</v>
      </c>
      <c r="G106" s="461"/>
      <c r="H106" s="530">
        <f t="shared" si="4"/>
        <v>3267297.6482735663</v>
      </c>
      <c r="I106" s="40">
        <f t="shared" si="5"/>
        <v>45657</v>
      </c>
      <c r="K106" s="533"/>
    </row>
    <row r="107" spans="2:11" x14ac:dyDescent="0.25">
      <c r="B107" s="498">
        <v>45657</v>
      </c>
      <c r="C107" s="499"/>
      <c r="D107" s="500"/>
      <c r="E107" s="500">
        <v>75000</v>
      </c>
      <c r="F107" s="501" t="s">
        <v>700</v>
      </c>
      <c r="G107" s="502"/>
      <c r="H107" s="503">
        <f t="shared" si="4"/>
        <v>3192297.6482735663</v>
      </c>
      <c r="I107" s="504">
        <f t="shared" si="5"/>
        <v>45657</v>
      </c>
      <c r="J107" s="496">
        <f>+'Balance Sheet'!H11</f>
        <v>3192297.6482735649</v>
      </c>
      <c r="K107" s="442">
        <f>+J107-H107</f>
        <v>0</v>
      </c>
    </row>
  </sheetData>
  <autoFilter ref="B2:R107" xr:uid="{204B170C-2A7B-4AA2-B65F-A4B6DD3F2A63}">
    <sortState xmlns:xlrd2="http://schemas.microsoft.com/office/spreadsheetml/2017/richdata2" ref="B3:R107">
      <sortCondition ref="B2:B107"/>
    </sortState>
  </autoFilter>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64573-8958-4080-8559-A15688E93961}">
  <sheetPr>
    <tabColor theme="5" tint="0.79998168889431442"/>
  </sheetPr>
  <dimension ref="A1:U27"/>
  <sheetViews>
    <sheetView showGridLines="0" zoomScale="90" zoomScaleNormal="90" workbookViewId="0">
      <selection activeCell="Q43" sqref="Q43"/>
    </sheetView>
  </sheetViews>
  <sheetFormatPr defaultRowHeight="15.75" x14ac:dyDescent="0.25"/>
  <cols>
    <col min="1" max="14" width="9.140625" style="10"/>
    <col min="15" max="15" width="9.140625" style="10" customWidth="1"/>
    <col min="16" max="16" width="12.140625" style="10" customWidth="1"/>
    <col min="17" max="28" width="9.140625" style="10"/>
    <col min="29" max="29" width="9.140625" style="10" customWidth="1"/>
    <col min="30" max="16384" width="9.140625" style="10"/>
  </cols>
  <sheetData>
    <row r="1" spans="1:1" x14ac:dyDescent="0.25">
      <c r="A1" s="118" t="s">
        <v>243</v>
      </c>
    </row>
    <row r="2" spans="1:1" x14ac:dyDescent="0.25">
      <c r="A2" s="108" t="s">
        <v>586</v>
      </c>
    </row>
    <row r="22" spans="21:21" x14ac:dyDescent="0.25">
      <c r="U22" s="117"/>
    </row>
    <row r="23" spans="21:21" x14ac:dyDescent="0.25">
      <c r="U23" s="119"/>
    </row>
    <row r="24" spans="21:21" x14ac:dyDescent="0.25">
      <c r="U24" s="119"/>
    </row>
    <row r="25" spans="21:21" x14ac:dyDescent="0.25">
      <c r="U25" s="119"/>
    </row>
    <row r="26" spans="21:21" x14ac:dyDescent="0.25">
      <c r="U26" s="119"/>
    </row>
    <row r="27" spans="21:21" x14ac:dyDescent="0.25">
      <c r="U27" s="117"/>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C157A-8101-4266-94FB-3EE016B7B135}">
  <sheetPr>
    <tabColor theme="6" tint="0.79998168889431442"/>
  </sheetPr>
  <dimension ref="A1:C29"/>
  <sheetViews>
    <sheetView showGridLines="0" workbookViewId="0">
      <selection activeCell="F7" sqref="F7"/>
    </sheetView>
  </sheetViews>
  <sheetFormatPr defaultRowHeight="15.75" x14ac:dyDescent="0.25"/>
  <cols>
    <col min="1" max="1" width="9.140625" style="10"/>
    <col min="2" max="2" width="22.28515625" style="10" bestFit="1" customWidth="1"/>
    <col min="3" max="3" width="166.5703125" style="10" bestFit="1" customWidth="1"/>
    <col min="4" max="16384" width="9.140625" style="10"/>
  </cols>
  <sheetData>
    <row r="1" spans="1:3" x14ac:dyDescent="0.25">
      <c r="A1" s="479" t="s">
        <v>305</v>
      </c>
    </row>
    <row r="2" spans="1:3" x14ac:dyDescent="0.25">
      <c r="A2" s="479" t="s">
        <v>307</v>
      </c>
    </row>
    <row r="3" spans="1:3" ht="16.5" thickBot="1" x14ac:dyDescent="0.3">
      <c r="A3" s="117"/>
    </row>
    <row r="4" spans="1:3" x14ac:dyDescent="0.25">
      <c r="B4" s="477" t="s">
        <v>598</v>
      </c>
      <c r="C4" s="478" t="s">
        <v>306</v>
      </c>
    </row>
    <row r="5" spans="1:3" x14ac:dyDescent="0.25">
      <c r="B5" s="480" t="s">
        <v>599</v>
      </c>
      <c r="C5" s="481" t="s">
        <v>600</v>
      </c>
    </row>
    <row r="6" spans="1:3" ht="31.5" x14ac:dyDescent="0.25">
      <c r="B6" s="480" t="s">
        <v>601</v>
      </c>
      <c r="C6" s="481" t="s">
        <v>602</v>
      </c>
    </row>
    <row r="7" spans="1:3" ht="31.5" x14ac:dyDescent="0.25">
      <c r="B7" s="480" t="s">
        <v>603</v>
      </c>
      <c r="C7" s="481" t="s">
        <v>604</v>
      </c>
    </row>
    <row r="8" spans="1:3" x14ac:dyDescent="0.25">
      <c r="B8" s="480"/>
      <c r="C8" s="481"/>
    </row>
    <row r="9" spans="1:3" x14ac:dyDescent="0.25">
      <c r="B9" s="480"/>
      <c r="C9" s="481"/>
    </row>
    <row r="10" spans="1:3" x14ac:dyDescent="0.25">
      <c r="B10" s="480"/>
      <c r="C10" s="481"/>
    </row>
    <row r="11" spans="1:3" x14ac:dyDescent="0.25">
      <c r="B11" s="480"/>
      <c r="C11" s="481"/>
    </row>
    <row r="12" spans="1:3" x14ac:dyDescent="0.25">
      <c r="B12" s="480"/>
      <c r="C12" s="481"/>
    </row>
    <row r="13" spans="1:3" x14ac:dyDescent="0.25">
      <c r="B13" s="480"/>
      <c r="C13" s="481"/>
    </row>
    <row r="14" spans="1:3" x14ac:dyDescent="0.25">
      <c r="B14" s="480"/>
      <c r="C14" s="481"/>
    </row>
    <row r="15" spans="1:3" x14ac:dyDescent="0.25">
      <c r="B15" s="480"/>
      <c r="C15" s="481"/>
    </row>
    <row r="16" spans="1:3" x14ac:dyDescent="0.25">
      <c r="B16" s="480"/>
      <c r="C16" s="481"/>
    </row>
    <row r="17" spans="2:3" x14ac:dyDescent="0.25">
      <c r="B17" s="480"/>
      <c r="C17" s="481"/>
    </row>
    <row r="18" spans="2:3" x14ac:dyDescent="0.25">
      <c r="B18" s="480"/>
      <c r="C18" s="481"/>
    </row>
    <row r="19" spans="2:3" x14ac:dyDescent="0.25">
      <c r="B19" s="480"/>
      <c r="C19" s="481"/>
    </row>
    <row r="20" spans="2:3" x14ac:dyDescent="0.25">
      <c r="B20" s="480"/>
      <c r="C20" s="481"/>
    </row>
    <row r="21" spans="2:3" x14ac:dyDescent="0.25">
      <c r="B21" s="480"/>
      <c r="C21" s="481"/>
    </row>
    <row r="22" spans="2:3" x14ac:dyDescent="0.25">
      <c r="B22" s="480"/>
      <c r="C22" s="481"/>
    </row>
    <row r="23" spans="2:3" x14ac:dyDescent="0.25">
      <c r="B23" s="480"/>
      <c r="C23" s="481"/>
    </row>
    <row r="24" spans="2:3" x14ac:dyDescent="0.25">
      <c r="B24" s="480"/>
      <c r="C24" s="481"/>
    </row>
    <row r="25" spans="2:3" x14ac:dyDescent="0.25">
      <c r="B25" s="480"/>
      <c r="C25" s="481"/>
    </row>
    <row r="26" spans="2:3" x14ac:dyDescent="0.25">
      <c r="B26" s="480"/>
      <c r="C26" s="481"/>
    </row>
    <row r="27" spans="2:3" x14ac:dyDescent="0.25">
      <c r="B27" s="480"/>
      <c r="C27" s="481"/>
    </row>
    <row r="28" spans="2:3" x14ac:dyDescent="0.25">
      <c r="B28" s="480"/>
      <c r="C28" s="481"/>
    </row>
    <row r="29" spans="2:3" ht="16.5" thickBot="1" x14ac:dyDescent="0.3">
      <c r="B29" s="476"/>
      <c r="C29" s="472"/>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21272-9A32-404B-9A4E-87C6324AD26E}">
  <sheetPr>
    <tabColor theme="6" tint="0.79998168889431442"/>
  </sheetPr>
  <dimension ref="A1:D16"/>
  <sheetViews>
    <sheetView showGridLines="0" workbookViewId="0">
      <selection activeCell="G17" sqref="G17"/>
    </sheetView>
  </sheetViews>
  <sheetFormatPr defaultRowHeight="15.75" x14ac:dyDescent="0.25"/>
  <cols>
    <col min="1" max="1" width="5.42578125" style="10" customWidth="1"/>
    <col min="2" max="2" width="18" style="10" bestFit="1" customWidth="1"/>
    <col min="3" max="3" width="24.7109375" style="10" bestFit="1" customWidth="1"/>
    <col min="4" max="4" width="22.140625" style="10" bestFit="1" customWidth="1"/>
    <col min="5" max="16384" width="9.140625" style="10"/>
  </cols>
  <sheetData>
    <row r="1" spans="1:4" x14ac:dyDescent="0.25">
      <c r="A1" s="11" t="s">
        <v>303</v>
      </c>
    </row>
    <row r="2" spans="1:4" x14ac:dyDescent="0.25">
      <c r="A2" s="11" t="s">
        <v>304</v>
      </c>
    </row>
    <row r="3" spans="1:4" x14ac:dyDescent="0.25">
      <c r="A3" s="11"/>
    </row>
    <row r="4" spans="1:4" ht="16.5" thickBot="1" x14ac:dyDescent="0.3">
      <c r="A4" s="108"/>
    </row>
    <row r="5" spans="1:4" x14ac:dyDescent="0.25">
      <c r="B5" s="467" t="s">
        <v>595</v>
      </c>
      <c r="C5" s="468" t="s">
        <v>596</v>
      </c>
      <c r="D5" s="469" t="s">
        <v>597</v>
      </c>
    </row>
    <row r="6" spans="1:4" x14ac:dyDescent="0.25">
      <c r="B6" s="473">
        <f ca="1">TODAY()</f>
        <v>45800</v>
      </c>
      <c r="C6" s="466"/>
      <c r="D6" s="470"/>
    </row>
    <row r="7" spans="1:4" x14ac:dyDescent="0.25">
      <c r="B7" s="474"/>
      <c r="C7" s="466"/>
      <c r="D7" s="470"/>
    </row>
    <row r="8" spans="1:4" x14ac:dyDescent="0.25">
      <c r="B8" s="474"/>
      <c r="C8" s="466"/>
      <c r="D8" s="470"/>
    </row>
    <row r="9" spans="1:4" x14ac:dyDescent="0.25">
      <c r="B9" s="474"/>
      <c r="C9" s="466"/>
      <c r="D9" s="470"/>
    </row>
    <row r="10" spans="1:4" x14ac:dyDescent="0.25">
      <c r="B10" s="474"/>
      <c r="C10" s="466"/>
      <c r="D10" s="470"/>
    </row>
    <row r="11" spans="1:4" x14ac:dyDescent="0.25">
      <c r="B11" s="474"/>
      <c r="C11" s="466"/>
      <c r="D11" s="470"/>
    </row>
    <row r="12" spans="1:4" x14ac:dyDescent="0.25">
      <c r="B12" s="474"/>
      <c r="C12" s="466"/>
      <c r="D12" s="470"/>
    </row>
    <row r="13" spans="1:4" x14ac:dyDescent="0.25">
      <c r="B13" s="474"/>
      <c r="C13" s="466"/>
      <c r="D13" s="470"/>
    </row>
    <row r="14" spans="1:4" x14ac:dyDescent="0.25">
      <c r="B14" s="474"/>
      <c r="C14" s="466"/>
      <c r="D14" s="470"/>
    </row>
    <row r="15" spans="1:4" x14ac:dyDescent="0.25">
      <c r="B15" s="474"/>
      <c r="C15" s="466"/>
      <c r="D15" s="470"/>
    </row>
    <row r="16" spans="1:4" ht="16.5" thickBot="1" x14ac:dyDescent="0.3">
      <c r="B16" s="475"/>
      <c r="C16" s="471"/>
      <c r="D16" s="47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CF011-191E-482C-A234-094693D9476D}">
  <sheetPr>
    <tabColor theme="5" tint="0.79998168889431442"/>
  </sheetPr>
  <dimension ref="A1:U85"/>
  <sheetViews>
    <sheetView showGridLines="0" zoomScale="85" zoomScaleNormal="85" workbookViewId="0">
      <pane xSplit="1" ySplit="11" topLeftCell="B66" activePane="bottomRight" state="frozen"/>
      <selection sqref="A1:XFD1048576"/>
      <selection pane="topRight" sqref="A1:XFD1048576"/>
      <selection pane="bottomLeft" sqref="A1:XFD1048576"/>
      <selection pane="bottomRight" activeCell="C66" sqref="C66"/>
    </sheetView>
  </sheetViews>
  <sheetFormatPr defaultRowHeight="15" outlineLevelRow="1" outlineLevelCol="1" x14ac:dyDescent="0.25"/>
  <cols>
    <col min="1" max="1" width="17.28515625" customWidth="1"/>
    <col min="2" max="2" width="11.5703125" style="3" customWidth="1" outlineLevel="1"/>
    <col min="3" max="4" width="12.7109375" style="3" customWidth="1" outlineLevel="1"/>
    <col min="5" max="6" width="12.7109375" style="390" customWidth="1" outlineLevel="1"/>
    <col min="7" max="7" width="12.28515625" style="444" customWidth="1" outlineLevel="1"/>
    <col min="8" max="8" width="6.5703125" style="432" customWidth="1"/>
    <col min="9" max="9" width="10.85546875" style="3" bestFit="1" customWidth="1"/>
    <col min="10" max="10" width="49.28515625" customWidth="1" outlineLevel="1"/>
    <col min="11" max="11" width="6.5703125" style="445" customWidth="1"/>
    <col min="12" max="12" width="19.5703125" customWidth="1"/>
    <col min="13" max="13" width="15.7109375" bestFit="1" customWidth="1"/>
    <col min="14" max="14" width="16.7109375" bestFit="1" customWidth="1"/>
    <col min="15" max="15" width="24.5703125" bestFit="1" customWidth="1"/>
    <col min="16" max="16" width="19.28515625" bestFit="1" customWidth="1"/>
    <col min="17" max="17" width="24.28515625" customWidth="1"/>
    <col min="18" max="18" width="40.28515625" bestFit="1" customWidth="1"/>
    <col min="19" max="19" width="56.7109375" bestFit="1" customWidth="1"/>
    <col min="20" max="20" width="10.5703125" bestFit="1" customWidth="1"/>
  </cols>
  <sheetData>
    <row r="1" spans="1:18" ht="15.75" x14ac:dyDescent="0.25">
      <c r="A1" s="374"/>
      <c r="B1" s="36"/>
      <c r="C1" s="36"/>
      <c r="D1" s="36"/>
      <c r="E1" s="36"/>
      <c r="F1" s="36"/>
      <c r="O1" s="10"/>
      <c r="P1" s="10"/>
      <c r="Q1" s="10"/>
      <c r="R1" s="10"/>
    </row>
    <row r="2" spans="1:18" ht="15.75" x14ac:dyDescent="0.25">
      <c r="A2" t="str">
        <f>"Fund "&amp;'Business Plan'!C23</f>
        <v>Fund Incorporation Date</v>
      </c>
      <c r="B2" s="3">
        <f>+'Business Plan'!$D$23</f>
        <v>45266</v>
      </c>
      <c r="O2" s="10"/>
      <c r="P2" s="10"/>
      <c r="Q2" s="10"/>
      <c r="R2" s="10"/>
    </row>
    <row r="4" spans="1:18" x14ac:dyDescent="0.25">
      <c r="A4" s="440" t="s">
        <v>572</v>
      </c>
      <c r="B4" s="446"/>
      <c r="C4" s="446"/>
      <c r="D4" s="446"/>
      <c r="E4" s="447"/>
      <c r="F4" s="447"/>
      <c r="G4" s="447" t="s">
        <v>41</v>
      </c>
      <c r="H4" s="445"/>
      <c r="I4" s="440" t="s">
        <v>575</v>
      </c>
      <c r="J4" s="440"/>
      <c r="L4" s="440" t="s">
        <v>590</v>
      </c>
    </row>
    <row r="5" spans="1:18" s="1" customFormat="1" ht="36" customHeight="1" x14ac:dyDescent="0.25">
      <c r="A5" s="1" t="s">
        <v>201</v>
      </c>
      <c r="B5" s="394" t="str">
        <f>+'Business Plan'!C34</f>
        <v>Laundromat</v>
      </c>
      <c r="C5" s="394" t="str">
        <f>+'Business Plan'!C46</f>
        <v>AI Tech</v>
      </c>
      <c r="D5" s="394" t="str">
        <f>'Business Plan'!C58&amp;" Equity"</f>
        <v>E-commerce Equity</v>
      </c>
      <c r="E5" s="394" t="s">
        <v>406</v>
      </c>
      <c r="F5" s="394" t="str">
        <f>+'Business Plan'!C75</f>
        <v>Apartment Complex Loan</v>
      </c>
      <c r="G5" s="444"/>
      <c r="H5" s="432"/>
      <c r="I5" s="3"/>
      <c r="J5" s="396" t="str">
        <f>+Budget!H12</f>
        <v>Total Capital Activities</v>
      </c>
      <c r="K5" s="433"/>
    </row>
    <row r="6" spans="1:18" x14ac:dyDescent="0.25">
      <c r="A6" s="3" t="s">
        <v>350</v>
      </c>
      <c r="B6" s="444">
        <f>+'Business Plan'!D39</f>
        <v>45306</v>
      </c>
      <c r="C6" s="444">
        <f>+'Business Plan'!D51</f>
        <v>45311</v>
      </c>
      <c r="D6" s="444">
        <f>+'Business Plan'!D67</f>
        <v>45413</v>
      </c>
      <c r="E6" s="389">
        <f>+'Business Plan'!D67</f>
        <v>45413</v>
      </c>
      <c r="F6" s="389">
        <f>+'Business Plan'!D82</f>
        <v>45413</v>
      </c>
      <c r="J6" s="444">
        <f>MIN(B6:F6)</f>
        <v>45306</v>
      </c>
    </row>
    <row r="7" spans="1:18" x14ac:dyDescent="0.25">
      <c r="A7" s="3" t="s">
        <v>348</v>
      </c>
      <c r="B7" s="444">
        <f>+'Business Plan'!D40</f>
        <v>47118</v>
      </c>
      <c r="C7" s="448">
        <f>+'Business Plan'!D52</f>
        <v>45626</v>
      </c>
      <c r="D7" s="444">
        <f>+B7</f>
        <v>47118</v>
      </c>
      <c r="E7" s="389">
        <f>+'Business Plan'!D68</f>
        <v>46538</v>
      </c>
      <c r="F7" s="391">
        <f>+'Business Plan'!D83</f>
        <v>45657</v>
      </c>
      <c r="J7" s="444">
        <f>MAX(B7:F7)</f>
        <v>47118</v>
      </c>
    </row>
    <row r="8" spans="1:18" x14ac:dyDescent="0.25">
      <c r="A8" s="3" t="s">
        <v>201</v>
      </c>
      <c r="B8" s="2">
        <f>-'Business Plan'!D37</f>
        <v>-800000</v>
      </c>
      <c r="C8" s="2">
        <f>+-'Business Plan'!D49</f>
        <v>-4600000</v>
      </c>
      <c r="D8" s="2">
        <f>-'Business Plan'!D62</f>
        <v>-4000000</v>
      </c>
      <c r="E8" s="2">
        <f>-'E-Commerce Loan'!F6</f>
        <v>-2000000</v>
      </c>
      <c r="F8" s="2">
        <f>-'Apartment Complex Loan'!F6</f>
        <v>-3000000</v>
      </c>
      <c r="G8" s="449">
        <f>SUM(B8:F8)</f>
        <v>-14400000</v>
      </c>
      <c r="I8" s="3" t="s">
        <v>584</v>
      </c>
    </row>
    <row r="9" spans="1:18" x14ac:dyDescent="0.25">
      <c r="A9" s="3" t="s">
        <v>351</v>
      </c>
      <c r="B9" s="2">
        <f>+'Business Plan'!D38</f>
        <v>18333.333333333332</v>
      </c>
      <c r="C9" s="2">
        <v>0</v>
      </c>
      <c r="D9" s="2">
        <f>+'Business Plan'!D64</f>
        <v>25000</v>
      </c>
      <c r="E9" s="2">
        <f>+'E-Commerce Loan'!F12</f>
        <v>62672.730922861701</v>
      </c>
      <c r="F9" s="2">
        <f>+'Apartment Complex Loan'!F12</f>
        <v>71369.790259076195</v>
      </c>
      <c r="I9" s="3" t="s">
        <v>577</v>
      </c>
      <c r="J9" s="450">
        <f>-(J53+J24)/(J13+J17)</f>
        <v>1.3236677427020893</v>
      </c>
    </row>
    <row r="10" spans="1:18" x14ac:dyDescent="0.25">
      <c r="A10" s="3" t="s">
        <v>205</v>
      </c>
      <c r="B10" s="2">
        <f>+'Business Plan'!D42</f>
        <v>1100000</v>
      </c>
      <c r="C10" s="2">
        <f>+'Business Plan'!D54</f>
        <v>9200000</v>
      </c>
      <c r="D10" s="2">
        <f>+'Business Plan'!D73</f>
        <v>12000000</v>
      </c>
      <c r="E10" s="2">
        <v>0</v>
      </c>
      <c r="F10" s="2">
        <v>0</v>
      </c>
      <c r="I10" s="3" t="s">
        <v>581</v>
      </c>
      <c r="J10" s="411">
        <f>-J24/(J13+J17)</f>
        <v>0.67425553933819471</v>
      </c>
    </row>
    <row r="11" spans="1:18" ht="15.75" thickBot="1" x14ac:dyDescent="0.3">
      <c r="A11" s="3" t="s">
        <v>244</v>
      </c>
      <c r="B11" s="172">
        <f>XIRR(B13:B72,A13:A72)</f>
        <v>0.35580078959465045</v>
      </c>
      <c r="C11" s="172">
        <f>XIRR(C13:C23,A13:A23)</f>
        <v>1.2984445929527286</v>
      </c>
      <c r="D11" s="172">
        <f>XIRR(D17:D72,A17:A72)</f>
        <v>0.33000189661979673</v>
      </c>
      <c r="E11" s="172">
        <f>XIRR(E17:E53,A17:$A$53)</f>
        <v>8.2952502369880707E-2</v>
      </c>
      <c r="F11" s="172">
        <f>XIRR(F17:F24,$A17:A$24)</f>
        <v>0.15989870429039008</v>
      </c>
      <c r="I11" s="1" t="s">
        <v>573</v>
      </c>
      <c r="J11" s="172">
        <f>XIRR(J13:J53,I13:I53)</f>
        <v>0.4800722301006316</v>
      </c>
    </row>
    <row r="12" spans="1:18" x14ac:dyDescent="0.25">
      <c r="A12" s="3"/>
      <c r="L12" s="416"/>
      <c r="M12" s="548" t="str">
        <f>+'Balance Sheet'!C21</f>
        <v>Total Assets</v>
      </c>
      <c r="N12" s="548" t="str">
        <f>+'Balance Sheet'!C43</f>
        <v>Total Liabilities</v>
      </c>
      <c r="O12" s="549" t="str">
        <f>+'Balance Sheet'!C49</f>
        <v>Ending Partners's Capital</v>
      </c>
      <c r="P12" s="549" t="str">
        <f>+M72</f>
        <v>AUM</v>
      </c>
    </row>
    <row r="13" spans="1:18" x14ac:dyDescent="0.25">
      <c r="A13" s="3">
        <f>EOMONTH($B$2,1)</f>
        <v>45322</v>
      </c>
      <c r="B13" s="2">
        <f t="shared" ref="B13:B44" si="0">IF(EOMONTH(B$6,0)=$A13,B$8,IF(EOMONTH(B$7,0)=$A13,B$10,B$9))</f>
        <v>-800000</v>
      </c>
      <c r="C13" s="2">
        <f t="shared" ref="C13:C45" si="1">IF(EOMONTH(C$6,0)=$A13,C$8,IF(EOMONTH(C$7,0)=$A13,C$10,C$9))</f>
        <v>-4600000</v>
      </c>
      <c r="D13" s="2"/>
      <c r="E13" s="2">
        <f>_xlfn.IFNA(IF(EOMONTH($E$6,0)=$A13,$E$8,INDEX('E-Commerce Loan'!F:F,MATCH($A13,'E-Commerce Loan'!$D:$D,0))),0)</f>
        <v>0</v>
      </c>
      <c r="F13" s="2">
        <f>_xlfn.IFNA(IF(EOMONTH(F$6,0)=$A13,F$8,INDEX('Apartment Complex Loan'!$F:$F,MATCH($A13,'Apartment Complex Loan'!$D:$D,0))),0)</f>
        <v>0</v>
      </c>
      <c r="I13" s="3">
        <f>+A13</f>
        <v>45322</v>
      </c>
      <c r="J13" s="449">
        <f>-INDEX(Budget!$H$5:$BQ$25,MATCH($J$5,Budget!$H$5:$H$25,0),MATCH($A13,Budget!$H$5:$BQ$5,0))</f>
        <v>-5600000</v>
      </c>
      <c r="L13" s="451" cm="1">
        <f t="array" ref="L13:L16">TRANSPOSE(_xlfn.UNIQUE('Balance Sheet'!E7:H7))</f>
        <v>45382</v>
      </c>
      <c r="M13" s="412">
        <f>INDEX('Balance Sheet'!$C$7:$H$49,MATCH(M$12,'Balance Sheet'!$C$7:$C$49,0),MATCH($L13,'Balance Sheet'!$C$7:$H$7,0))</f>
        <v>5468916.666666667</v>
      </c>
      <c r="N13" s="412">
        <f>INDEX('Balance Sheet'!$C$7:$H$49,MATCH(N$12,'Balance Sheet'!$C$7:$C$49,0),MATCH($L13,'Balance Sheet'!$C$7:$H$7,0))</f>
        <v>15000</v>
      </c>
      <c r="O13" s="413">
        <f>INDEX('Balance Sheet'!$C$7:$H$49,MATCH(O$12,'Balance Sheet'!$C$7:$C$49,0),MATCH($L13,'Balance Sheet'!$C$7:$H$7,0))</f>
        <v>5453916.666666667</v>
      </c>
      <c r="P13" s="413">
        <f t="shared" ref="P13:P16" si="2">+M73</f>
        <v>5400000</v>
      </c>
    </row>
    <row r="14" spans="1:18" x14ac:dyDescent="0.25">
      <c r="A14" s="3">
        <f>EOMONTH($A13,1)</f>
        <v>45351</v>
      </c>
      <c r="B14" s="2">
        <f t="shared" si="0"/>
        <v>18333.333333333332</v>
      </c>
      <c r="C14" s="2">
        <f t="shared" si="1"/>
        <v>0</v>
      </c>
      <c r="D14" s="2"/>
      <c r="E14" s="2">
        <f>_xlfn.IFNA(IF(EOMONTH($E$6,0)=$A14,$E$8,INDEX('E-Commerce Loan'!F:F,MATCH($A14,'E-Commerce Loan'!$D:$D,0))),0)</f>
        <v>0</v>
      </c>
      <c r="F14" s="2">
        <f>_xlfn.IFNA(IF(EOMONTH(F$6,0)=$A14,F$8,INDEX('Apartment Complex Loan'!$F:$F,MATCH($A14,'Apartment Complex Loan'!$D:$D,0))),0)</f>
        <v>0</v>
      </c>
      <c r="I14" s="3">
        <f t="shared" ref="I14:I52" si="3">+A14</f>
        <v>45351</v>
      </c>
      <c r="J14" s="449">
        <f>-INDEX(Budget!$H$5:$BQ$25,MATCH($J$5,Budget!$H$5:$H$25,0),MATCH($A14,Budget!$H$5:$BQ$5,0))</f>
        <v>0</v>
      </c>
      <c r="L14" s="451">
        <v>45473</v>
      </c>
      <c r="M14" s="412">
        <f>INDEX('Balance Sheet'!$C$7:$H$49,MATCH(M$12,'Balance Sheet'!$C$7:$C$49,0),MATCH($L14,'Balance Sheet'!$C$7:$H$7,0))</f>
        <v>14890333.333333332</v>
      </c>
      <c r="N14" s="412">
        <f>INDEX('Balance Sheet'!$C$7:$H$49,MATCH(N$12,'Balance Sheet'!$C$7:$C$49,0),MATCH($L14,'Balance Sheet'!$C$7:$H$7,0))</f>
        <v>30000</v>
      </c>
      <c r="O14" s="413">
        <f>INDEX('Balance Sheet'!$C$7:$H$49,MATCH(O$12,'Balance Sheet'!$C$7:$C$49,0),MATCH($L14,'Balance Sheet'!$C$7:$H$7,0))</f>
        <v>14860333.333333334</v>
      </c>
      <c r="P14" s="413">
        <f t="shared" si="2"/>
        <v>14316790.812151395</v>
      </c>
    </row>
    <row r="15" spans="1:18" x14ac:dyDescent="0.25">
      <c r="A15" s="3">
        <f t="shared" ref="A15:A72" si="4">EOMONTH($A14,1)</f>
        <v>45382</v>
      </c>
      <c r="B15" s="2">
        <f t="shared" si="0"/>
        <v>18333.333333333332</v>
      </c>
      <c r="C15" s="2">
        <f t="shared" si="1"/>
        <v>0</v>
      </c>
      <c r="D15" s="2"/>
      <c r="E15" s="2">
        <f>_xlfn.IFNA(IF(EOMONTH($E$6,0)=$A15,$E$8,INDEX('E-Commerce Loan'!F:F,MATCH($A15,'E-Commerce Loan'!$D:$D,0))),0)</f>
        <v>0</v>
      </c>
      <c r="F15" s="2">
        <f>_xlfn.IFNA(IF(EOMONTH(F$6,0)=$A15,F$8,INDEX('Apartment Complex Loan'!$F:$F,MATCH($A15,'Apartment Complex Loan'!$D:$D,0))),0)</f>
        <v>0</v>
      </c>
      <c r="I15" s="3">
        <f t="shared" si="3"/>
        <v>45382</v>
      </c>
      <c r="J15" s="449">
        <f>-INDEX(Budget!$H$5:$BQ$25,MATCH($J$5,Budget!$H$5:$H$25,0),MATCH($A15,Budget!$H$5:$BQ$5,0))</f>
        <v>0</v>
      </c>
      <c r="L15" s="451">
        <v>45565</v>
      </c>
      <c r="M15" s="412">
        <f>INDEX('Balance Sheet'!$C$7:$H$49,MATCH(M$12,'Balance Sheet'!$C$7:$C$49,0),MATCH($L15,'Balance Sheet'!$C$7:$H$7,0))</f>
        <v>15025539.502321934</v>
      </c>
      <c r="N15" s="412">
        <f>INDEX('Balance Sheet'!$C$7:$H$49,MATCH(N$12,'Balance Sheet'!$C$7:$C$49,0),MATCH($L15,'Balance Sheet'!$C$7:$H$7,0))</f>
        <v>45000</v>
      </c>
      <c r="O15" s="413">
        <f>INDEX('Balance Sheet'!$C$7:$H$49,MATCH(O$12,'Balance Sheet'!$C$7:$C$49,0),MATCH($L15,'Balance Sheet'!$C$7:$H$7,0))</f>
        <v>14980539.502321934</v>
      </c>
      <c r="P15" s="413">
        <f t="shared" si="2"/>
        <v>14062619.417594183</v>
      </c>
    </row>
    <row r="16" spans="1:18" ht="15.75" thickBot="1" x14ac:dyDescent="0.3">
      <c r="A16" s="3">
        <f t="shared" si="4"/>
        <v>45412</v>
      </c>
      <c r="B16" s="2">
        <f t="shared" si="0"/>
        <v>18333.333333333332</v>
      </c>
      <c r="C16" s="2">
        <f t="shared" si="1"/>
        <v>0</v>
      </c>
      <c r="D16" s="2"/>
      <c r="E16" s="2">
        <f>_xlfn.IFNA(IF(EOMONTH($E$6,0)=$A16,$E$8,INDEX('E-Commerce Loan'!F:F,MATCH($A16,'E-Commerce Loan'!$D:$D,0))),0)</f>
        <v>0</v>
      </c>
      <c r="F16" s="2">
        <f>_xlfn.IFNA(IF(EOMONTH(F$6,0)=$A16,F$8,INDEX('Apartment Complex Loan'!$F:$F,MATCH($A16,'Apartment Complex Loan'!$D:$D,0))),0)</f>
        <v>0</v>
      </c>
      <c r="I16" s="3">
        <f t="shared" si="3"/>
        <v>45412</v>
      </c>
      <c r="J16" s="449">
        <f>-INDEX(Budget!$H$5:$BQ$25,MATCH($J$5,Budget!$H$5:$H$25,0),MATCH($A16,Budget!$H$5:$BQ$5,0))</f>
        <v>0</v>
      </c>
      <c r="L16" s="452">
        <v>45657</v>
      </c>
      <c r="M16" s="414">
        <f>INDEX('Balance Sheet'!$C$7:$H$49,MATCH(M$12,'Balance Sheet'!$C$7:$C$49,0),MATCH($L16,'Balance Sheet'!$C$7:$H$7,0))</f>
        <v>10639937.085591255</v>
      </c>
      <c r="N16" s="414">
        <f>INDEX('Balance Sheet'!$C$7:$H$49,MATCH(N$12,'Balance Sheet'!$C$7:$C$49,0),MATCH($L16,'Balance Sheet'!$C$7:$H$7,0))</f>
        <v>60000</v>
      </c>
      <c r="O16" s="415">
        <f>INDEX('Balance Sheet'!$C$7:$H$49,MATCH(O$12,'Balance Sheet'!$C$7:$C$49,0),MATCH($L16,'Balance Sheet'!$C$7:$H$7,0))</f>
        <v>10579937.085591255</v>
      </c>
      <c r="P16" s="415">
        <f t="shared" si="2"/>
        <v>7447639.4373176899</v>
      </c>
    </row>
    <row r="17" spans="1:21" x14ac:dyDescent="0.25">
      <c r="A17" s="3">
        <f t="shared" si="4"/>
        <v>45443</v>
      </c>
      <c r="B17" s="2">
        <f t="shared" si="0"/>
        <v>18333.333333333332</v>
      </c>
      <c r="C17" s="2">
        <f t="shared" si="1"/>
        <v>0</v>
      </c>
      <c r="D17" s="2">
        <f t="shared" ref="D17:D48" si="5">IF(EOMONTH(D$6,0)=$A17,D$8,IF(EOMONTH(D$7,0)=$A17,D$10,D$9))</f>
        <v>-4000000</v>
      </c>
      <c r="E17" s="2">
        <f>_xlfn.IFNA(IF(EOMONTH(E$6,0)=$A17,E$8,INDEX('E-Commerce Loan'!$F:$F,MATCH($A17,'E-Commerce Loan'!$D:$D,0))),0)</f>
        <v>-2000000</v>
      </c>
      <c r="F17" s="2">
        <f>_xlfn.IFNA(IF(EOMONTH(F$6,0)=$A17,F$8,INDEX('Apartment Complex Loan'!$F:$F,MATCH($A17,'Apartment Complex Loan'!$D:$D,0))),0)</f>
        <v>-3000000</v>
      </c>
      <c r="I17" s="3">
        <f t="shared" si="3"/>
        <v>45443</v>
      </c>
      <c r="J17" s="449">
        <f>-INDEX(Budget!$H$5:$BQ$25,MATCH($J$5,Budget!$H$5:$H$25,0),MATCH($A17,Budget!$H$5:$BQ$5,0))</f>
        <v>-9400000</v>
      </c>
    </row>
    <row r="18" spans="1:21" x14ac:dyDescent="0.25">
      <c r="A18" s="3">
        <f t="shared" si="4"/>
        <v>45473</v>
      </c>
      <c r="B18" s="2">
        <f t="shared" si="0"/>
        <v>18333.333333333332</v>
      </c>
      <c r="C18" s="2">
        <f t="shared" si="1"/>
        <v>0</v>
      </c>
      <c r="D18" s="2">
        <f t="shared" si="5"/>
        <v>25000</v>
      </c>
      <c r="E18" s="2">
        <f>_xlfn.IFNA(IF(EOMONTH(E$6,0)=$A18,E$8,INDEX('E-Commerce Loan'!$F:$F,MATCH($A18,'E-Commerce Loan'!$D:$D,0))),0)</f>
        <v>62672.730922861701</v>
      </c>
      <c r="F18" s="2">
        <f>_xlfn.IFNA(IF(EOMONTH(F$6,0)=$A18,F$8,INDEX('Apartment Complex Loan'!$F:$F,MATCH($A18,'Apartment Complex Loan'!$D:$D,0))),0)</f>
        <v>71369.790259076195</v>
      </c>
      <c r="I18" s="3">
        <f t="shared" si="3"/>
        <v>45473</v>
      </c>
      <c r="J18" s="449">
        <f>-INDEX(Budget!$H$5:$BQ$25,MATCH($J$5,Budget!$H$5:$H$25,0),MATCH($A18,Budget!$H$5:$BQ$5,0))</f>
        <v>0</v>
      </c>
    </row>
    <row r="19" spans="1:21" ht="15.75" thickBot="1" x14ac:dyDescent="0.3">
      <c r="A19" s="3">
        <f t="shared" si="4"/>
        <v>45504</v>
      </c>
      <c r="B19" s="2">
        <f t="shared" si="0"/>
        <v>18333.333333333332</v>
      </c>
      <c r="C19" s="2">
        <f t="shared" si="1"/>
        <v>0</v>
      </c>
      <c r="D19" s="2">
        <f t="shared" si="5"/>
        <v>25000</v>
      </c>
      <c r="E19" s="2">
        <f>_xlfn.IFNA(IF(EOMONTH(E$6,0)=$A19,E$8,INDEX('E-Commerce Loan'!$F:$F,MATCH($A19,'E-Commerce Loan'!$D:$D,0))),0)</f>
        <v>62672.730922861701</v>
      </c>
      <c r="F19" s="2">
        <f>_xlfn.IFNA(IF(EOMONTH(F$6,0)=$A19,F$8,INDEX('Apartment Complex Loan'!$F:$F,MATCH($A19,'Apartment Complex Loan'!$D:$D,0))),0)</f>
        <v>71369.790259076195</v>
      </c>
      <c r="I19" s="3">
        <f t="shared" si="3"/>
        <v>45504</v>
      </c>
      <c r="J19" s="449">
        <f>-INDEX(Budget!$H$5:$BQ$25,MATCH($J$5,Budget!$H$5:$H$25,0),MATCH($A19,Budget!$H$5:$BQ$5,0))</f>
        <v>0</v>
      </c>
      <c r="T19" s="2"/>
      <c r="U19" s="2"/>
    </row>
    <row r="20" spans="1:21" x14ac:dyDescent="0.25">
      <c r="A20" s="3">
        <f t="shared" si="4"/>
        <v>45535</v>
      </c>
      <c r="B20" s="2">
        <f t="shared" si="0"/>
        <v>18333.333333333332</v>
      </c>
      <c r="C20" s="2">
        <f t="shared" si="1"/>
        <v>0</v>
      </c>
      <c r="D20" s="2">
        <f t="shared" si="5"/>
        <v>25000</v>
      </c>
      <c r="E20" s="2">
        <f>_xlfn.IFNA(IF(EOMONTH(E$6,0)=$A20,E$8,INDEX('E-Commerce Loan'!$F:$F,MATCH($A20,'E-Commerce Loan'!$D:$D,0))),0)</f>
        <v>62672.730922861701</v>
      </c>
      <c r="F20" s="2">
        <f>_xlfn.IFNA(IF(EOMONTH(F$6,0)=$A20,F$8,INDEX('Apartment Complex Loan'!$F:$F,MATCH($A20,'Apartment Complex Loan'!$D:$D,0))),0)</f>
        <v>71369.790259076195</v>
      </c>
      <c r="I20" s="3">
        <f t="shared" si="3"/>
        <v>45535</v>
      </c>
      <c r="J20" s="449">
        <f>-INDEX(Budget!$H$5:$BQ$25,MATCH($J$5,Budget!$H$5:$H$25,0),MATCH($A20,Budget!$H$5:$BQ$5,0))</f>
        <v>0</v>
      </c>
      <c r="L20" s="416"/>
      <c r="M20" s="417" t="str">
        <f>+'Income Statement'!C10</f>
        <v>Interest Income</v>
      </c>
      <c r="N20" s="417" t="str">
        <f>+'Income Statement'!C11</f>
        <v>Dividend Income</v>
      </c>
      <c r="O20" s="417" t="str">
        <f>+'Income Statement'!C16</f>
        <v>Management Fee</v>
      </c>
      <c r="P20" s="418" t="str">
        <f>+'Income Statement'!C18</f>
        <v>Professional Fees</v>
      </c>
      <c r="Q20" s="417" t="str">
        <f>+'Income Statement'!C23</f>
        <v>Organizational Costs</v>
      </c>
      <c r="R20" s="417" t="str">
        <f>+'Income Statement'!C31</f>
        <v>Net realized gain (loss) from investments</v>
      </c>
      <c r="S20" s="419" t="str">
        <f>+'Income Statement'!C32</f>
        <v>Net change in unrealized gains and losses on investments</v>
      </c>
      <c r="T20" s="2"/>
      <c r="U20" s="2"/>
    </row>
    <row r="21" spans="1:21" x14ac:dyDescent="0.25">
      <c r="A21" s="3">
        <f t="shared" si="4"/>
        <v>45565</v>
      </c>
      <c r="B21" s="2">
        <f t="shared" si="0"/>
        <v>18333.333333333332</v>
      </c>
      <c r="C21" s="2">
        <f t="shared" si="1"/>
        <v>0</v>
      </c>
      <c r="D21" s="2">
        <f t="shared" si="5"/>
        <v>25000</v>
      </c>
      <c r="E21" s="2">
        <f>_xlfn.IFNA(IF(EOMONTH(E$6,0)=$A21,E$8,INDEX('E-Commerce Loan'!$F:$F,MATCH($A21,'E-Commerce Loan'!$D:$D,0))),0)</f>
        <v>62672.730922861701</v>
      </c>
      <c r="F21" s="2">
        <f>_xlfn.IFNA(IF(EOMONTH(F$6,0)=$A21,F$8,INDEX('Apartment Complex Loan'!$F:$F,MATCH($A21,'Apartment Complex Loan'!$D:$D,0))),0)</f>
        <v>71369.790259076195</v>
      </c>
      <c r="I21" s="3">
        <f t="shared" si="3"/>
        <v>45565</v>
      </c>
      <c r="J21" s="449">
        <f>-INDEX(Budget!$H$5:$BQ$25,MATCH($J$5,Budget!$H$5:$H$25,0),MATCH($A21,Budget!$H$5:$BQ$5,0))</f>
        <v>0</v>
      </c>
      <c r="L21" s="453">
        <f>+L13</f>
        <v>45382</v>
      </c>
      <c r="M21" s="420">
        <f>INDEX('Income Statement'!$C$7:$H$37,MATCH(M$20,'Income Statement'!$C$7:$C$37,0),MATCH($L21,'Income Statement'!$C$7:$H$7,0))</f>
        <v>0</v>
      </c>
      <c r="N21" s="420">
        <f>INDEX('Income Statement'!$C$7:$H$37,MATCH(N$20,'Income Statement'!$C$7:$C$37,0),MATCH($L21,'Income Statement'!$C$7:$H$7,0))</f>
        <v>36666.666666666664</v>
      </c>
      <c r="O21" s="420">
        <f>-INDEX('Income Statement'!$C$7:$H$37,MATCH(O$20,'Income Statement'!$C$7:$C$37,0),MATCH($L21,'Income Statement'!$C$7:$H$7,0))</f>
        <v>-75000</v>
      </c>
      <c r="P21" s="420">
        <f>-INDEX('Income Statement'!$C$7:$H$37,MATCH(P$20,'Income Statement'!$C$7:$C$37,0),MATCH($L21,'Income Statement'!$C$7:$H$7,0))</f>
        <v>-107750</v>
      </c>
      <c r="Q21" s="420">
        <f>-INDEX('Income Statement'!$C$7:$H$37,MATCH(Q$20,'Income Statement'!$C$7:$C$37,0),MATCH($L21,'Income Statement'!$C$7:$H$7,0))</f>
        <v>0</v>
      </c>
      <c r="R21" s="420">
        <f>INDEX('Income Statement'!$C$7:$H$37,MATCH(R$20,'Income Statement'!$C$7:$C$37,0),MATCH($L21,'Income Statement'!$C$7:$H$7,0))</f>
        <v>0</v>
      </c>
      <c r="S21" s="421">
        <f>INDEX('Income Statement'!$C$7:$H$37,MATCH(S$20,'Income Statement'!$C$7:$C$37,0),MATCH($L21,'Income Statement'!$C$7:$H$7,0))</f>
        <v>0</v>
      </c>
      <c r="T21" s="2"/>
      <c r="U21" s="2"/>
    </row>
    <row r="22" spans="1:21" x14ac:dyDescent="0.25">
      <c r="A22" s="3">
        <f t="shared" si="4"/>
        <v>45596</v>
      </c>
      <c r="B22" s="2">
        <f t="shared" si="0"/>
        <v>18333.333333333332</v>
      </c>
      <c r="C22" s="2">
        <f t="shared" si="1"/>
        <v>0</v>
      </c>
      <c r="D22" s="2">
        <f t="shared" si="5"/>
        <v>25000</v>
      </c>
      <c r="E22" s="2">
        <f>_xlfn.IFNA(IF(EOMONTH(E$6,0)=$A22,E$8,INDEX('E-Commerce Loan'!$F:$F,MATCH($A22,'E-Commerce Loan'!$D:$D,0))),0)</f>
        <v>62672.730922861701</v>
      </c>
      <c r="F22" s="2">
        <f>_xlfn.IFNA(IF(EOMONTH(F$6,0)=$A22,F$8,INDEX('Apartment Complex Loan'!$F:$F,MATCH($A22,'Apartment Complex Loan'!$D:$D,0))),0)</f>
        <v>71369.790259076195</v>
      </c>
      <c r="I22" s="3">
        <f t="shared" si="3"/>
        <v>45596</v>
      </c>
      <c r="J22" s="449">
        <f>-INDEX(Budget!$H$5:$BQ$25,MATCH($J$5,Budget!$H$5:$H$25,0),MATCH($A22,Budget!$H$5:$BQ$5,0))</f>
        <v>0</v>
      </c>
      <c r="L22" s="453">
        <f>+L14</f>
        <v>45473</v>
      </c>
      <c r="M22" s="420">
        <f>INDEX('Income Statement'!$C$7:$H$37,MATCH(M$20,'Income Statement'!$C$7:$C$37,0),MATCH($L22,'Income Statement'!$C$7:$H$7,0))-M21</f>
        <v>50833.333333333336</v>
      </c>
      <c r="N22" s="420">
        <f>INDEX('Income Statement'!$C$7:$H$37,MATCH(N$20,'Income Statement'!$C$7:$C$37,0),MATCH($L22,'Income Statement'!$C$7:$H$7,0))-N21</f>
        <v>63333.333333333336</v>
      </c>
      <c r="O22" s="420">
        <f>-INDEX('Income Statement'!$C$7:$H$37,MATCH(O$20,'Income Statement'!$C$7:$C$37,0),MATCH($L22,'Income Statement'!$C$7:$H$7,0))-O21</f>
        <v>-75000</v>
      </c>
      <c r="P22" s="420">
        <f>-INDEX('Income Statement'!$C$7:$H$37,MATCH(P$20,'Income Statement'!$C$7:$C$37,0),MATCH($L22,'Income Statement'!$C$7:$H$7,0))-P21</f>
        <v>-32750</v>
      </c>
      <c r="Q22" s="420">
        <f>-INDEX('Income Statement'!$C$7:$H$37,MATCH(Q$20,'Income Statement'!$C$7:$C$37,0),MATCH($L22,'Income Statement'!$C$7:$H$7,0))-Q21</f>
        <v>0</v>
      </c>
      <c r="R22" s="420">
        <f>INDEX('Income Statement'!$C$7:$H$37,MATCH(R$20,'Income Statement'!$C$7:$C$37,0),MATCH($L22,'Income Statement'!$C$7:$H$7,0))-R21</f>
        <v>0</v>
      </c>
      <c r="S22" s="421">
        <f>INDEX('Income Statement'!$C$7:$H$37,MATCH(S$20,'Income Statement'!$C$7:$C$37,0),MATCH($L22,'Income Statement'!$C$7:$H$7,0))-S21</f>
        <v>0</v>
      </c>
      <c r="T22" s="2"/>
      <c r="U22" s="2"/>
    </row>
    <row r="23" spans="1:21" x14ac:dyDescent="0.25">
      <c r="A23" s="392">
        <f t="shared" si="4"/>
        <v>45626</v>
      </c>
      <c r="B23" s="334">
        <f t="shared" si="0"/>
        <v>18333.333333333332</v>
      </c>
      <c r="C23" s="334">
        <f t="shared" si="1"/>
        <v>9200000</v>
      </c>
      <c r="D23" s="334">
        <f t="shared" si="5"/>
        <v>25000</v>
      </c>
      <c r="E23" s="334">
        <f>_xlfn.IFNA(IF(EOMONTH(E$6,0)=$A23,E$8,INDEX('E-Commerce Loan'!$F:$F,MATCH($A23,'E-Commerce Loan'!$D:$D,0))),0)</f>
        <v>62672.730922861701</v>
      </c>
      <c r="F23" s="334">
        <f>_xlfn.IFNA(IF(EOMONTH(F$6,0)=$A23,F$8,INDEX('Apartment Complex Loan'!$F:$F,MATCH($A23,'Apartment Complex Loan'!$D:$D,0))),0)</f>
        <v>71369.790259076195</v>
      </c>
      <c r="I23" s="3">
        <f t="shared" si="3"/>
        <v>45626</v>
      </c>
      <c r="J23" s="449">
        <f>-INDEX(Budget!$H$5:$BQ$25,MATCH($J$5,Budget!$H$5:$H$25,0),MATCH($A23,Budget!$H$5:$BQ$5,0))</f>
        <v>0</v>
      </c>
      <c r="L23" s="453">
        <f>+L15</f>
        <v>45565</v>
      </c>
      <c r="M23" s="420">
        <f>INDEX('Income Statement'!$C$7:$H$37,MATCH(M$20,'Income Statement'!$C$7:$C$37,0),MATCH($L23,'Income Statement'!$C$7:$H$7,0))-M22-M21</f>
        <v>147956.16898860098</v>
      </c>
      <c r="N23" s="420">
        <f>INDEX('Income Statement'!$C$7:$H$37,MATCH(N$20,'Income Statement'!$C$7:$C$37,0),MATCH($L23,'Income Statement'!$C$7:$H$7,0))-N22-N21</f>
        <v>80000</v>
      </c>
      <c r="O23" s="420">
        <f>-INDEX('Income Statement'!$C$7:$H$37,MATCH(O$20,'Income Statement'!$C$7:$C$37,0),MATCH($L23,'Income Statement'!$C$7:$H$7,0))-O22-O21</f>
        <v>-75000</v>
      </c>
      <c r="P23" s="420">
        <f>-INDEX('Income Statement'!$C$7:$H$37,MATCH(P$20,'Income Statement'!$C$7:$C$37,0),MATCH($L23,'Income Statement'!$C$7:$H$7,0))-P22-P21</f>
        <v>-32750</v>
      </c>
      <c r="Q23" s="420">
        <f>-INDEX('Income Statement'!$C$7:$H$37,MATCH(Q$20,'Income Statement'!$C$7:$C$37,0),MATCH($L23,'Income Statement'!$C$7:$H$7,0))-Q22-Q21</f>
        <v>0</v>
      </c>
      <c r="R23" s="420">
        <f>INDEX('Income Statement'!$C$7:$H$37,MATCH(R$20,'Income Statement'!$C$7:$C$37,0),MATCH($L23,'Income Statement'!$C$7:$H$7,0))-R22-R21</f>
        <v>0</v>
      </c>
      <c r="S23" s="421">
        <f>INDEX('Income Statement'!$C$7:$H$37,MATCH(S$20,'Income Statement'!$C$7:$C$37,0),MATCH($L23,'Income Statement'!$C$7:$H$7,0))-S22-S21</f>
        <v>0</v>
      </c>
    </row>
    <row r="24" spans="1:21" ht="15.75" thickBot="1" x14ac:dyDescent="0.3">
      <c r="A24" s="392">
        <f t="shared" si="4"/>
        <v>45657</v>
      </c>
      <c r="B24" s="334">
        <f t="shared" si="0"/>
        <v>18333.333333333332</v>
      </c>
      <c r="C24" s="334">
        <f t="shared" si="1"/>
        <v>0</v>
      </c>
      <c r="D24" s="334">
        <f t="shared" si="5"/>
        <v>25000</v>
      </c>
      <c r="E24" s="334">
        <f>_xlfn.IFNA(IF(EOMONTH(E$6,0)=$A24,E$8,INDEX('E-Commerce Loan'!$F:$F,MATCH($A24,'E-Commerce Loan'!$D:$D,0))),0)</f>
        <v>62672.730922861701</v>
      </c>
      <c r="F24" s="393">
        <f>_xlfn.IFNA(IF(EOMONTH(F$6,0)=$A24,F$8,INDEX('Apartment Complex Loan'!$F:$F,MATCH($A24,'Apartment Complex Loan'!$D:$D,0))),0)+INDEX('Apartment Complex Loan'!$I:$I,MATCH(Data!A24,'Apartment Complex Loan'!D:D,0))</f>
        <v>2825202.8803319968</v>
      </c>
      <c r="I24" s="3">
        <f t="shared" si="3"/>
        <v>45657</v>
      </c>
      <c r="J24" s="449">
        <f>-INDEX(Budget!$H$5:$BQ$25,MATCH($J$5,Budget!$H$5:$H$25,0),MATCH($A24,Budget!$H$5:$BQ$5,0))</f>
        <v>10113833.090072921</v>
      </c>
      <c r="L24" s="454">
        <f>+L16</f>
        <v>45657</v>
      </c>
      <c r="M24" s="422">
        <f>INDEX('Income Statement'!$C$7:$H$37,MATCH(M$20,'Income Statement'!$C$7:$C$37,0),MATCH($L24,'Income Statement'!$C$7:$H$7,0))-M23-M22-M21</f>
        <v>140980.67334224028</v>
      </c>
      <c r="N24" s="422">
        <f>INDEX('Income Statement'!$C$7:$H$37,MATCH(N$20,'Income Statement'!$C$7:$C$37,0),MATCH($L24,'Income Statement'!$C$7:$H$7,0))-N23-N22-N21</f>
        <v>80000</v>
      </c>
      <c r="O24" s="422">
        <f>-INDEX('Income Statement'!$C$7:$H$37,MATCH(O$20,'Income Statement'!$C$7:$C$37,0),MATCH($L24,'Income Statement'!$C$7:$H$7,0))-O23-O22-O21</f>
        <v>-75000</v>
      </c>
      <c r="P24" s="422">
        <f>-INDEX('Income Statement'!$C$7:$H$37,MATCH(P$20,'Income Statement'!$C$7:$C$37,0),MATCH($L24,'Income Statement'!$C$7:$H$7,0))-P23-P22-P21</f>
        <v>-32750</v>
      </c>
      <c r="Q24" s="422">
        <f>-INDEX('Income Statement'!$C$7:$H$37,MATCH(Q$20,'Income Statement'!$C$7:$C$37,0),MATCH($L24,'Income Statement'!$C$7:$H$7,0))-Q23-Q22-Q21</f>
        <v>0</v>
      </c>
      <c r="R24" s="422">
        <f>INDEX('Income Statement'!$C$7:$H$37,MATCH(R$20,'Income Statement'!$C$7:$C$37,0),MATCH($L24,'Income Statement'!$C$7:$H$7,0))-R23-R22-R21</f>
        <v>4600000</v>
      </c>
      <c r="S24" s="423">
        <f>INDEX('Income Statement'!$C$7:$H$37,MATCH(S$20,'Income Statement'!$C$7:$C$37,0),MATCH($L24,'Income Statement'!$C$7:$H$7,0))-S23-S22-S21</f>
        <v>1000000</v>
      </c>
    </row>
    <row r="25" spans="1:21" hidden="1" outlineLevel="1" x14ac:dyDescent="0.25">
      <c r="A25" s="3">
        <f t="shared" si="4"/>
        <v>45688</v>
      </c>
      <c r="B25" s="2">
        <f t="shared" si="0"/>
        <v>18333.333333333332</v>
      </c>
      <c r="C25" s="2">
        <f t="shared" si="1"/>
        <v>0</v>
      </c>
      <c r="D25" s="2">
        <f t="shared" si="5"/>
        <v>25000</v>
      </c>
      <c r="E25" s="2">
        <f>_xlfn.IFNA(IF(EOMONTH(E$6,0)=$A25,E$8,INDEX('E-Commerce Loan'!$F:$F,MATCH($A25,'E-Commerce Loan'!$D:$D,0))),0)</f>
        <v>62672.730922861701</v>
      </c>
      <c r="F25" s="2">
        <f>_xlfn.IFNA(IF(EOMONTH(F$6,0)=$A25,F$8,INDEX('Apartment Complex Loan'!$F:$F,MATCH($A25,'Apartment Complex Loan'!$D:$D,0))),0)</f>
        <v>0</v>
      </c>
      <c r="I25" s="3">
        <f t="shared" si="3"/>
        <v>45688</v>
      </c>
      <c r="J25" s="449">
        <f>-INDEX(Budget!$H$5:$BQ$25,MATCH($J$5,Budget!$H$5:$H$25,0),MATCH($A25,Budget!$H$5:$BQ$5,0))</f>
        <v>0</v>
      </c>
    </row>
    <row r="26" spans="1:21" hidden="1" outlineLevel="1" x14ac:dyDescent="0.25">
      <c r="A26" s="3">
        <f t="shared" si="4"/>
        <v>45716</v>
      </c>
      <c r="B26" s="2">
        <f t="shared" si="0"/>
        <v>18333.333333333332</v>
      </c>
      <c r="C26" s="2">
        <f t="shared" si="1"/>
        <v>0</v>
      </c>
      <c r="D26" s="2">
        <f t="shared" si="5"/>
        <v>25000</v>
      </c>
      <c r="E26" s="2">
        <f>_xlfn.IFNA(IF(EOMONTH(E$6,0)=$A26,E$8,INDEX('E-Commerce Loan'!$F:$F,MATCH($A26,'E-Commerce Loan'!$D:$D,0))),0)</f>
        <v>62672.730922861701</v>
      </c>
      <c r="F26" s="2">
        <f>_xlfn.IFNA(IF(EOMONTH(F$6,0)=$A26,F$8,INDEX('Apartment Complex Loan'!$F:$F,MATCH($A26,'Apartment Complex Loan'!$D:$D,0))),0)</f>
        <v>0</v>
      </c>
      <c r="I26" s="3">
        <f t="shared" si="3"/>
        <v>45716</v>
      </c>
      <c r="J26" s="449">
        <f>-INDEX(Budget!$H$5:$BQ$25,MATCH($J$5,Budget!$H$5:$H$25,0),MATCH($A26,Budget!$H$5:$BQ$5,0))</f>
        <v>0</v>
      </c>
    </row>
    <row r="27" spans="1:21" hidden="1" outlineLevel="1" x14ac:dyDescent="0.25">
      <c r="A27" s="3">
        <f t="shared" si="4"/>
        <v>45747</v>
      </c>
      <c r="B27" s="2">
        <f t="shared" si="0"/>
        <v>18333.333333333332</v>
      </c>
      <c r="C27" s="2">
        <f t="shared" si="1"/>
        <v>0</v>
      </c>
      <c r="D27" s="2">
        <f t="shared" si="5"/>
        <v>25000</v>
      </c>
      <c r="E27" s="2">
        <f>_xlfn.IFNA(IF(EOMONTH(E$6,0)=$A27,E$8,INDEX('E-Commerce Loan'!$F:$F,MATCH($A27,'E-Commerce Loan'!$D:$D,0))),0)</f>
        <v>62672.730922861701</v>
      </c>
      <c r="F27" s="2">
        <f>_xlfn.IFNA(IF(EOMONTH(F$6,0)=$A27,F$8,INDEX('Apartment Complex Loan'!$F:$F,MATCH($A27,'Apartment Complex Loan'!$D:$D,0))),0)</f>
        <v>0</v>
      </c>
      <c r="I27" s="3">
        <f t="shared" si="3"/>
        <v>45747</v>
      </c>
      <c r="J27" s="449">
        <f>-INDEX(Budget!$H$5:$BQ$25,MATCH($J$5,Budget!$H$5:$H$25,0),MATCH($A27,Budget!$H$5:$BQ$5,0))</f>
        <v>0</v>
      </c>
    </row>
    <row r="28" spans="1:21" hidden="1" outlineLevel="1" x14ac:dyDescent="0.25">
      <c r="A28" s="3">
        <f t="shared" si="4"/>
        <v>45777</v>
      </c>
      <c r="B28" s="2">
        <f t="shared" si="0"/>
        <v>18333.333333333332</v>
      </c>
      <c r="C28" s="2">
        <f t="shared" si="1"/>
        <v>0</v>
      </c>
      <c r="D28" s="2">
        <f t="shared" si="5"/>
        <v>25000</v>
      </c>
      <c r="E28" s="2">
        <f>_xlfn.IFNA(IF(EOMONTH(E$6,0)=$A28,E$8,INDEX('E-Commerce Loan'!$F:$F,MATCH($A28,'E-Commerce Loan'!$D:$D,0))),0)</f>
        <v>62672.730922861701</v>
      </c>
      <c r="F28" s="2">
        <f>_xlfn.IFNA(IF(EOMONTH(F$6,0)=$A28,F$8,INDEX('Apartment Complex Loan'!$F:$F,MATCH($A28,'Apartment Complex Loan'!$D:$D,0))),0)</f>
        <v>0</v>
      </c>
      <c r="I28" s="3">
        <f t="shared" si="3"/>
        <v>45777</v>
      </c>
      <c r="J28" s="449">
        <f>-INDEX(Budget!$H$5:$BQ$25,MATCH($J$5,Budget!$H$5:$H$25,0),MATCH($A28,Budget!$H$5:$BQ$5,0))</f>
        <v>0</v>
      </c>
    </row>
    <row r="29" spans="1:21" hidden="1" outlineLevel="1" x14ac:dyDescent="0.25">
      <c r="A29" s="3">
        <f t="shared" si="4"/>
        <v>45808</v>
      </c>
      <c r="B29" s="2">
        <f t="shared" si="0"/>
        <v>18333.333333333332</v>
      </c>
      <c r="C29" s="2">
        <f t="shared" si="1"/>
        <v>0</v>
      </c>
      <c r="D29" s="2">
        <f t="shared" si="5"/>
        <v>25000</v>
      </c>
      <c r="E29" s="2">
        <f>_xlfn.IFNA(IF(EOMONTH(E$6,0)=$A29,E$8,INDEX('E-Commerce Loan'!$F:$F,MATCH($A29,'E-Commerce Loan'!$D:$D,0))),0)</f>
        <v>62672.730922861701</v>
      </c>
      <c r="F29" s="2">
        <f>_xlfn.IFNA(IF(EOMONTH(F$6,0)=$A29,F$8,INDEX('Apartment Complex Loan'!$F:$F,MATCH($A29,'Apartment Complex Loan'!$D:$D,0))),0)</f>
        <v>0</v>
      </c>
      <c r="I29" s="3">
        <f t="shared" si="3"/>
        <v>45808</v>
      </c>
      <c r="J29" s="449">
        <f>-INDEX(Budget!$H$5:$BQ$25,MATCH($J$5,Budget!$H$5:$H$25,0),MATCH($A29,Budget!$H$5:$BQ$5,0))</f>
        <v>0</v>
      </c>
    </row>
    <row r="30" spans="1:21" hidden="1" outlineLevel="1" x14ac:dyDescent="0.25">
      <c r="A30" s="3">
        <f t="shared" si="4"/>
        <v>45838</v>
      </c>
      <c r="B30" s="2">
        <f t="shared" si="0"/>
        <v>18333.333333333332</v>
      </c>
      <c r="C30" s="2">
        <f t="shared" si="1"/>
        <v>0</v>
      </c>
      <c r="D30" s="2">
        <f t="shared" si="5"/>
        <v>25000</v>
      </c>
      <c r="E30" s="2">
        <f>_xlfn.IFNA(IF(EOMONTH(E$6,0)=$A30,E$8,INDEX('E-Commerce Loan'!$F:$F,MATCH($A30,'E-Commerce Loan'!$D:$D,0))),0)</f>
        <v>62672.730922861701</v>
      </c>
      <c r="F30" s="2">
        <f>_xlfn.IFNA(IF(EOMONTH(F$6,0)=$A30,F$8,INDEX('Apartment Complex Loan'!$F:$F,MATCH($A30,'Apartment Complex Loan'!$D:$D,0))),0)</f>
        <v>0</v>
      </c>
      <c r="I30" s="3">
        <f t="shared" si="3"/>
        <v>45838</v>
      </c>
      <c r="J30" s="449">
        <f>-INDEX(Budget!$H$5:$BQ$25,MATCH($J$5,Budget!$H$5:$H$25,0),MATCH($A30,Budget!$H$5:$BQ$5,0))</f>
        <v>0</v>
      </c>
    </row>
    <row r="31" spans="1:21" hidden="1" outlineLevel="1" x14ac:dyDescent="0.25">
      <c r="A31" s="3">
        <f t="shared" si="4"/>
        <v>45869</v>
      </c>
      <c r="B31" s="2">
        <f t="shared" si="0"/>
        <v>18333.333333333332</v>
      </c>
      <c r="C31" s="2">
        <f t="shared" si="1"/>
        <v>0</v>
      </c>
      <c r="D31" s="2">
        <f t="shared" si="5"/>
        <v>25000</v>
      </c>
      <c r="E31" s="2">
        <f>_xlfn.IFNA(IF(EOMONTH(E$6,0)=$A31,E$8,INDEX('E-Commerce Loan'!$F:$F,MATCH($A31,'E-Commerce Loan'!$D:$D,0))),0)</f>
        <v>62672.730922861701</v>
      </c>
      <c r="F31" s="2">
        <f>_xlfn.IFNA(IF(EOMONTH(F$6,0)=$A31,F$8,INDEX('Apartment Complex Loan'!$F:$F,MATCH($A31,'Apartment Complex Loan'!$D:$D,0))),0)</f>
        <v>0</v>
      </c>
      <c r="I31" s="3">
        <f t="shared" si="3"/>
        <v>45869</v>
      </c>
      <c r="J31" s="449">
        <f>-INDEX(Budget!$H$5:$BQ$25,MATCH($J$5,Budget!$H$5:$H$25,0),MATCH($A31,Budget!$H$5:$BQ$5,0))</f>
        <v>0</v>
      </c>
    </row>
    <row r="32" spans="1:21" hidden="1" outlineLevel="1" x14ac:dyDescent="0.25">
      <c r="A32" s="3">
        <f t="shared" si="4"/>
        <v>45900</v>
      </c>
      <c r="B32" s="2">
        <f t="shared" si="0"/>
        <v>18333.333333333332</v>
      </c>
      <c r="C32" s="2">
        <f t="shared" si="1"/>
        <v>0</v>
      </c>
      <c r="D32" s="2">
        <f t="shared" si="5"/>
        <v>25000</v>
      </c>
      <c r="E32" s="2">
        <f>_xlfn.IFNA(IF(EOMONTH(E$6,0)=$A32,E$8,INDEX('E-Commerce Loan'!$F:$F,MATCH($A32,'E-Commerce Loan'!$D:$D,0))),0)</f>
        <v>62672.730922861701</v>
      </c>
      <c r="F32" s="2">
        <f>_xlfn.IFNA(IF(EOMONTH(F$6,0)=$A32,F$8,INDEX('Apartment Complex Loan'!$F:$F,MATCH($A32,'Apartment Complex Loan'!$D:$D,0))),0)</f>
        <v>0</v>
      </c>
      <c r="I32" s="3">
        <f t="shared" si="3"/>
        <v>45900</v>
      </c>
      <c r="J32" s="449">
        <f>-INDEX(Budget!$H$5:$BQ$25,MATCH($J$5,Budget!$H$5:$H$25,0),MATCH($A32,Budget!$H$5:$BQ$5,0))</f>
        <v>0</v>
      </c>
    </row>
    <row r="33" spans="1:10" hidden="1" outlineLevel="1" x14ac:dyDescent="0.25">
      <c r="A33" s="3">
        <f t="shared" si="4"/>
        <v>45930</v>
      </c>
      <c r="B33" s="2">
        <f t="shared" si="0"/>
        <v>18333.333333333332</v>
      </c>
      <c r="C33" s="2">
        <f t="shared" si="1"/>
        <v>0</v>
      </c>
      <c r="D33" s="2">
        <f t="shared" si="5"/>
        <v>25000</v>
      </c>
      <c r="E33" s="2">
        <f>_xlfn.IFNA(IF(EOMONTH(E$6,0)=$A33,E$8,INDEX('E-Commerce Loan'!$F:$F,MATCH($A33,'E-Commerce Loan'!$D:$D,0))),0)</f>
        <v>62672.730922861701</v>
      </c>
      <c r="F33" s="2">
        <f>_xlfn.IFNA(IF(EOMONTH(F$6,0)=$A33,F$8,INDEX('Apartment Complex Loan'!$F:$F,MATCH($A33,'Apartment Complex Loan'!$D:$D,0))),0)</f>
        <v>0</v>
      </c>
      <c r="I33" s="3">
        <f t="shared" si="3"/>
        <v>45930</v>
      </c>
      <c r="J33" s="449">
        <f>-INDEX(Budget!$H$5:$BQ$25,MATCH($J$5,Budget!$H$5:$H$25,0),MATCH($A33,Budget!$H$5:$BQ$5,0))</f>
        <v>0</v>
      </c>
    </row>
    <row r="34" spans="1:10" hidden="1" outlineLevel="1" x14ac:dyDescent="0.25">
      <c r="A34" s="3">
        <f t="shared" si="4"/>
        <v>45961</v>
      </c>
      <c r="B34" s="2">
        <f t="shared" si="0"/>
        <v>18333.333333333332</v>
      </c>
      <c r="C34" s="2">
        <f t="shared" si="1"/>
        <v>0</v>
      </c>
      <c r="D34" s="2">
        <f t="shared" si="5"/>
        <v>25000</v>
      </c>
      <c r="E34" s="2">
        <f>_xlfn.IFNA(IF(EOMONTH(E$6,0)=$A34,E$8,INDEX('E-Commerce Loan'!$F:$F,MATCH($A34,'E-Commerce Loan'!$D:$D,0))),0)</f>
        <v>62672.730922861701</v>
      </c>
      <c r="F34" s="2">
        <f>_xlfn.IFNA(IF(EOMONTH(F$6,0)=$A34,F$8,INDEX('Apartment Complex Loan'!$F:$F,MATCH($A34,'Apartment Complex Loan'!$D:$D,0))),0)</f>
        <v>0</v>
      </c>
      <c r="I34" s="3">
        <f t="shared" si="3"/>
        <v>45961</v>
      </c>
      <c r="J34" s="449">
        <f>-INDEX(Budget!$H$5:$BQ$25,MATCH($J$5,Budget!$H$5:$H$25,0),MATCH($A34,Budget!$H$5:$BQ$5,0))</f>
        <v>0</v>
      </c>
    </row>
    <row r="35" spans="1:10" hidden="1" outlineLevel="1" x14ac:dyDescent="0.25">
      <c r="A35" s="3">
        <f t="shared" si="4"/>
        <v>45991</v>
      </c>
      <c r="B35" s="2">
        <f t="shared" si="0"/>
        <v>18333.333333333332</v>
      </c>
      <c r="C35" s="2">
        <f t="shared" si="1"/>
        <v>0</v>
      </c>
      <c r="D35" s="2">
        <f t="shared" si="5"/>
        <v>25000</v>
      </c>
      <c r="E35" s="2">
        <f>_xlfn.IFNA(IF(EOMONTH(E$6,0)=$A35,E$8,INDEX('E-Commerce Loan'!$F:$F,MATCH($A35,'E-Commerce Loan'!$D:$D,0))),0)</f>
        <v>62672.730922861701</v>
      </c>
      <c r="F35" s="2">
        <f>_xlfn.IFNA(IF(EOMONTH(F$6,0)=$A35,F$8,INDEX('Apartment Complex Loan'!$F:$F,MATCH($A35,'Apartment Complex Loan'!$D:$D,0))),0)</f>
        <v>0</v>
      </c>
      <c r="I35" s="3">
        <f t="shared" si="3"/>
        <v>45991</v>
      </c>
      <c r="J35" s="449">
        <f>-INDEX(Budget!$H$5:$BQ$25,MATCH($J$5,Budget!$H$5:$H$25,0),MATCH($A35,Budget!$H$5:$BQ$5,0))</f>
        <v>0</v>
      </c>
    </row>
    <row r="36" spans="1:10" hidden="1" outlineLevel="1" x14ac:dyDescent="0.25">
      <c r="A36" s="3">
        <f t="shared" si="4"/>
        <v>46022</v>
      </c>
      <c r="B36" s="2">
        <f t="shared" si="0"/>
        <v>18333.333333333332</v>
      </c>
      <c r="C36" s="2">
        <f t="shared" si="1"/>
        <v>0</v>
      </c>
      <c r="D36" s="2">
        <f t="shared" si="5"/>
        <v>25000</v>
      </c>
      <c r="E36" s="2">
        <f>_xlfn.IFNA(IF(EOMONTH(E$6,0)=$A36,E$8,INDEX('E-Commerce Loan'!$F:$F,MATCH($A36,'E-Commerce Loan'!$D:$D,0))),0)</f>
        <v>62672.730922861701</v>
      </c>
      <c r="F36" s="2">
        <f>_xlfn.IFNA(IF(EOMONTH(F$6,0)=$A36,F$8,INDEX('Apartment Complex Loan'!$F:$F,MATCH($A36,'Apartment Complex Loan'!$D:$D,0))),0)</f>
        <v>0</v>
      </c>
      <c r="I36" s="3">
        <f t="shared" si="3"/>
        <v>46022</v>
      </c>
      <c r="J36" s="449">
        <f>-INDEX(Budget!$H$5:$BQ$25,MATCH($J$5,Budget!$H$5:$H$25,0),MATCH($A36,Budget!$H$5:$BQ$5,0))</f>
        <v>0</v>
      </c>
    </row>
    <row r="37" spans="1:10" hidden="1" outlineLevel="1" x14ac:dyDescent="0.25">
      <c r="A37" s="3">
        <f t="shared" si="4"/>
        <v>46053</v>
      </c>
      <c r="B37" s="2">
        <f t="shared" si="0"/>
        <v>18333.333333333332</v>
      </c>
      <c r="C37" s="2">
        <f t="shared" si="1"/>
        <v>0</v>
      </c>
      <c r="D37" s="2">
        <f t="shared" si="5"/>
        <v>25000</v>
      </c>
      <c r="E37" s="2">
        <f>_xlfn.IFNA(IF(EOMONTH(E$6,0)=$A37,E$8,INDEX('E-Commerce Loan'!$F:$F,MATCH($A37,'E-Commerce Loan'!$D:$D,0))),0)</f>
        <v>62672.730922861701</v>
      </c>
      <c r="F37" s="2">
        <f>_xlfn.IFNA(IF(EOMONTH(F$6,0)=$A37,F$8,INDEX('Apartment Complex Loan'!$F:$F,MATCH($A37,'Apartment Complex Loan'!$D:$D,0))),0)</f>
        <v>0</v>
      </c>
      <c r="I37" s="3">
        <f t="shared" si="3"/>
        <v>46053</v>
      </c>
      <c r="J37" s="449">
        <f>-INDEX(Budget!$H$5:$BQ$25,MATCH($J$5,Budget!$H$5:$H$25,0),MATCH($A37,Budget!$H$5:$BQ$5,0))</f>
        <v>0</v>
      </c>
    </row>
    <row r="38" spans="1:10" hidden="1" outlineLevel="1" x14ac:dyDescent="0.25">
      <c r="A38" s="3">
        <f t="shared" si="4"/>
        <v>46081</v>
      </c>
      <c r="B38" s="2">
        <f t="shared" si="0"/>
        <v>18333.333333333332</v>
      </c>
      <c r="C38" s="2">
        <f t="shared" si="1"/>
        <v>0</v>
      </c>
      <c r="D38" s="2">
        <f t="shared" si="5"/>
        <v>25000</v>
      </c>
      <c r="E38" s="2">
        <f>_xlfn.IFNA(IF(EOMONTH(E$6,0)=$A38,E$8,INDEX('E-Commerce Loan'!$F:$F,MATCH($A38,'E-Commerce Loan'!$D:$D,0))),0)</f>
        <v>62672.730922861701</v>
      </c>
      <c r="F38" s="2">
        <f>_xlfn.IFNA(IF(EOMONTH(F$6,0)=$A38,F$8,INDEX('Apartment Complex Loan'!$F:$F,MATCH($A38,'Apartment Complex Loan'!$D:$D,0))),0)</f>
        <v>0</v>
      </c>
      <c r="I38" s="3">
        <f t="shared" si="3"/>
        <v>46081</v>
      </c>
      <c r="J38" s="449">
        <f>-INDEX(Budget!$H$5:$BQ$25,MATCH($J$5,Budget!$H$5:$H$25,0),MATCH($A38,Budget!$H$5:$BQ$5,0))</f>
        <v>0</v>
      </c>
    </row>
    <row r="39" spans="1:10" hidden="1" outlineLevel="1" x14ac:dyDescent="0.25">
      <c r="A39" s="3">
        <f t="shared" si="4"/>
        <v>46112</v>
      </c>
      <c r="B39" s="2">
        <f t="shared" si="0"/>
        <v>18333.333333333332</v>
      </c>
      <c r="C39" s="2">
        <f t="shared" si="1"/>
        <v>0</v>
      </c>
      <c r="D39" s="2">
        <f t="shared" si="5"/>
        <v>25000</v>
      </c>
      <c r="E39" s="2">
        <f>_xlfn.IFNA(IF(EOMONTH(E$6,0)=$A39,E$8,INDEX('E-Commerce Loan'!$F:$F,MATCH($A39,'E-Commerce Loan'!$D:$D,0))),0)</f>
        <v>62672.730922861701</v>
      </c>
      <c r="F39" s="2">
        <f>_xlfn.IFNA(IF(EOMONTH(F$6,0)=$A39,F$8,INDEX('Apartment Complex Loan'!$F:$F,MATCH($A39,'Apartment Complex Loan'!$D:$D,0))),0)</f>
        <v>0</v>
      </c>
      <c r="I39" s="3">
        <f t="shared" si="3"/>
        <v>46112</v>
      </c>
      <c r="J39" s="449">
        <f>-INDEX(Budget!$H$5:$BQ$25,MATCH($J$5,Budget!$H$5:$H$25,0),MATCH($A39,Budget!$H$5:$BQ$5,0))</f>
        <v>0</v>
      </c>
    </row>
    <row r="40" spans="1:10" hidden="1" outlineLevel="1" x14ac:dyDescent="0.25">
      <c r="A40" s="3">
        <f t="shared" si="4"/>
        <v>46142</v>
      </c>
      <c r="B40" s="2">
        <f t="shared" si="0"/>
        <v>18333.333333333332</v>
      </c>
      <c r="C40" s="2">
        <f t="shared" si="1"/>
        <v>0</v>
      </c>
      <c r="D40" s="2">
        <f t="shared" si="5"/>
        <v>25000</v>
      </c>
      <c r="E40" s="2">
        <f>_xlfn.IFNA(IF(EOMONTH(E$6,0)=$A40,E$8,INDEX('E-Commerce Loan'!$F:$F,MATCH($A40,'E-Commerce Loan'!$D:$D,0))),0)</f>
        <v>62672.730922861701</v>
      </c>
      <c r="F40" s="2">
        <f>_xlfn.IFNA(IF(EOMONTH(F$6,0)=$A40,F$8,INDEX('Apartment Complex Loan'!$F:$F,MATCH($A40,'Apartment Complex Loan'!$D:$D,0))),0)</f>
        <v>0</v>
      </c>
      <c r="I40" s="3">
        <f t="shared" si="3"/>
        <v>46142</v>
      </c>
      <c r="J40" s="449">
        <f>-INDEX(Budget!$H$5:$BQ$25,MATCH($J$5,Budget!$H$5:$H$25,0),MATCH($A40,Budget!$H$5:$BQ$5,0))</f>
        <v>0</v>
      </c>
    </row>
    <row r="41" spans="1:10" hidden="1" outlineLevel="1" x14ac:dyDescent="0.25">
      <c r="A41" s="3">
        <f t="shared" si="4"/>
        <v>46173</v>
      </c>
      <c r="B41" s="2">
        <f t="shared" si="0"/>
        <v>18333.333333333332</v>
      </c>
      <c r="C41" s="2">
        <f t="shared" si="1"/>
        <v>0</v>
      </c>
      <c r="D41" s="2">
        <f t="shared" si="5"/>
        <v>25000</v>
      </c>
      <c r="E41" s="2">
        <f>_xlfn.IFNA(IF(EOMONTH(E$6,0)=$A41,E$8,INDEX('E-Commerce Loan'!$F:$F,MATCH($A41,'E-Commerce Loan'!$D:$D,0))),0)</f>
        <v>62672.730922861701</v>
      </c>
      <c r="F41" s="2">
        <f>_xlfn.IFNA(IF(EOMONTH(F$6,0)=$A41,F$8,INDEX('Apartment Complex Loan'!$F:$F,MATCH($A41,'Apartment Complex Loan'!$D:$D,0))),0)</f>
        <v>0</v>
      </c>
      <c r="I41" s="3">
        <f t="shared" si="3"/>
        <v>46173</v>
      </c>
      <c r="J41" s="449">
        <f>-INDEX(Budget!$H$5:$BQ$25,MATCH($J$5,Budget!$H$5:$H$25,0),MATCH($A41,Budget!$H$5:$BQ$5,0))</f>
        <v>0</v>
      </c>
    </row>
    <row r="42" spans="1:10" hidden="1" outlineLevel="1" x14ac:dyDescent="0.25">
      <c r="A42" s="3">
        <f t="shared" si="4"/>
        <v>46203</v>
      </c>
      <c r="B42" s="2">
        <f t="shared" si="0"/>
        <v>18333.333333333332</v>
      </c>
      <c r="C42" s="2">
        <f t="shared" si="1"/>
        <v>0</v>
      </c>
      <c r="D42" s="2">
        <f t="shared" si="5"/>
        <v>25000</v>
      </c>
      <c r="E42" s="2">
        <f>_xlfn.IFNA(IF(EOMONTH(E$6,0)=$A42,E$8,INDEX('E-Commerce Loan'!$F:$F,MATCH($A42,'E-Commerce Loan'!$D:$D,0))),0)</f>
        <v>62672.730922861701</v>
      </c>
      <c r="F42" s="2">
        <f>_xlfn.IFNA(IF(EOMONTH(F$6,0)=$A42,F$8,INDEX('Apartment Complex Loan'!$F:$F,MATCH($A42,'Apartment Complex Loan'!$D:$D,0))),0)</f>
        <v>0</v>
      </c>
      <c r="I42" s="3">
        <f t="shared" si="3"/>
        <v>46203</v>
      </c>
      <c r="J42" s="449">
        <f>-INDEX(Budget!$H$5:$BQ$25,MATCH($J$5,Budget!$H$5:$H$25,0),MATCH($A42,Budget!$H$5:$BQ$5,0))</f>
        <v>0</v>
      </c>
    </row>
    <row r="43" spans="1:10" hidden="1" outlineLevel="1" x14ac:dyDescent="0.25">
      <c r="A43" s="3">
        <f t="shared" si="4"/>
        <v>46234</v>
      </c>
      <c r="B43" s="2">
        <f t="shared" si="0"/>
        <v>18333.333333333332</v>
      </c>
      <c r="C43" s="2">
        <f t="shared" si="1"/>
        <v>0</v>
      </c>
      <c r="D43" s="2">
        <f t="shared" si="5"/>
        <v>25000</v>
      </c>
      <c r="E43" s="2">
        <f>_xlfn.IFNA(IF(EOMONTH(E$6,0)=$A43,E$8,INDEX('E-Commerce Loan'!$F:$F,MATCH($A43,'E-Commerce Loan'!$D:$D,0))),0)</f>
        <v>62672.730922861701</v>
      </c>
      <c r="F43" s="2">
        <f>_xlfn.IFNA(IF(EOMONTH(F$6,0)=$A43,F$8,INDEX('Apartment Complex Loan'!$F:$F,MATCH($A43,'Apartment Complex Loan'!$D:$D,0))),0)</f>
        <v>0</v>
      </c>
      <c r="I43" s="3">
        <f t="shared" si="3"/>
        <v>46234</v>
      </c>
      <c r="J43" s="449">
        <f>-INDEX(Budget!$H$5:$BQ$25,MATCH($J$5,Budget!$H$5:$H$25,0),MATCH($A43,Budget!$H$5:$BQ$5,0))</f>
        <v>0</v>
      </c>
    </row>
    <row r="44" spans="1:10" hidden="1" outlineLevel="1" x14ac:dyDescent="0.25">
      <c r="A44" s="3">
        <f t="shared" si="4"/>
        <v>46265</v>
      </c>
      <c r="B44" s="2">
        <f t="shared" si="0"/>
        <v>18333.333333333332</v>
      </c>
      <c r="C44" s="2">
        <f t="shared" si="1"/>
        <v>0</v>
      </c>
      <c r="D44" s="2">
        <f t="shared" si="5"/>
        <v>25000</v>
      </c>
      <c r="E44" s="2">
        <f>_xlfn.IFNA(IF(EOMONTH(E$6,0)=$A44,E$8,INDEX('E-Commerce Loan'!$F:$F,MATCH($A44,'E-Commerce Loan'!$D:$D,0))),0)</f>
        <v>62672.730922861701</v>
      </c>
      <c r="F44" s="2">
        <f>_xlfn.IFNA(IF(EOMONTH(F$6,0)=$A44,F$8,INDEX('Apartment Complex Loan'!$F:$F,MATCH($A44,'Apartment Complex Loan'!$D:$D,0))),0)</f>
        <v>0</v>
      </c>
      <c r="I44" s="3">
        <f t="shared" si="3"/>
        <v>46265</v>
      </c>
      <c r="J44" s="449">
        <f>-INDEX(Budget!$H$5:$BQ$25,MATCH($J$5,Budget!$H$5:$H$25,0),MATCH($A44,Budget!$H$5:$BQ$5,0))</f>
        <v>0</v>
      </c>
    </row>
    <row r="45" spans="1:10" hidden="1" outlineLevel="1" x14ac:dyDescent="0.25">
      <c r="A45" s="3">
        <f t="shared" si="4"/>
        <v>46295</v>
      </c>
      <c r="B45" s="2">
        <f t="shared" ref="B45:B71" si="6">IF(EOMONTH(B$6,0)=$A45,B$8,IF(EOMONTH(B$7,0)=$A45,B$10,B$9))</f>
        <v>18333.333333333332</v>
      </c>
      <c r="C45" s="2">
        <f t="shared" si="1"/>
        <v>0</v>
      </c>
      <c r="D45" s="2">
        <f t="shared" si="5"/>
        <v>25000</v>
      </c>
      <c r="E45" s="2">
        <f>_xlfn.IFNA(IF(EOMONTH(E$6,0)=$A45,E$8,INDEX('E-Commerce Loan'!$F:$F,MATCH($A45,'E-Commerce Loan'!$D:$D,0))),0)</f>
        <v>62672.730922861701</v>
      </c>
      <c r="F45" s="2">
        <f>_xlfn.IFNA(IF(EOMONTH(F$6,0)=$A45,F$8,INDEX('Apartment Complex Loan'!$F:$F,MATCH($A45,'Apartment Complex Loan'!$D:$D,0))),0)</f>
        <v>0</v>
      </c>
      <c r="I45" s="3">
        <f t="shared" si="3"/>
        <v>46295</v>
      </c>
      <c r="J45" s="449">
        <f>-INDEX(Budget!$H$5:$BQ$25,MATCH($J$5,Budget!$H$5:$H$25,0),MATCH($A45,Budget!$H$5:$BQ$5,0))</f>
        <v>0</v>
      </c>
    </row>
    <row r="46" spans="1:10" hidden="1" outlineLevel="1" x14ac:dyDescent="0.25">
      <c r="A46" s="3">
        <f t="shared" si="4"/>
        <v>46326</v>
      </c>
      <c r="B46" s="2">
        <f t="shared" si="6"/>
        <v>18333.333333333332</v>
      </c>
      <c r="C46" s="2">
        <f t="shared" ref="C46:C72" si="7">IF(EOMONTH(C$6,0)=$A46,C$8,IF(EOMONTH(C$7,0)=$A46,C$10,C$9))</f>
        <v>0</v>
      </c>
      <c r="D46" s="2">
        <f t="shared" si="5"/>
        <v>25000</v>
      </c>
      <c r="E46" s="2">
        <f>_xlfn.IFNA(IF(EOMONTH(E$6,0)=$A46,E$8,INDEX('E-Commerce Loan'!$F:$F,MATCH($A46,'E-Commerce Loan'!$D:$D,0))),0)</f>
        <v>62672.730922861701</v>
      </c>
      <c r="F46" s="2">
        <f>_xlfn.IFNA(IF(EOMONTH(F$6,0)=$A46,F$8,INDEX('Apartment Complex Loan'!$F:$F,MATCH($A46,'Apartment Complex Loan'!$D:$D,0))),0)</f>
        <v>0</v>
      </c>
      <c r="I46" s="3">
        <f t="shared" si="3"/>
        <v>46326</v>
      </c>
      <c r="J46" s="449">
        <f>-INDEX(Budget!$H$5:$BQ$25,MATCH($J$5,Budget!$H$5:$H$25,0),MATCH($A46,Budget!$H$5:$BQ$5,0))</f>
        <v>0</v>
      </c>
    </row>
    <row r="47" spans="1:10" hidden="1" outlineLevel="1" x14ac:dyDescent="0.25">
      <c r="A47" s="3">
        <f t="shared" si="4"/>
        <v>46356</v>
      </c>
      <c r="B47" s="2">
        <f t="shared" si="6"/>
        <v>18333.333333333332</v>
      </c>
      <c r="C47" s="2">
        <f t="shared" si="7"/>
        <v>0</v>
      </c>
      <c r="D47" s="2">
        <f t="shared" si="5"/>
        <v>25000</v>
      </c>
      <c r="E47" s="2">
        <f>_xlfn.IFNA(IF(EOMONTH(E$6,0)=$A47,E$8,INDEX('E-Commerce Loan'!$F:$F,MATCH($A47,'E-Commerce Loan'!$D:$D,0))),0)</f>
        <v>62672.730922861701</v>
      </c>
      <c r="F47" s="2">
        <f>_xlfn.IFNA(IF(EOMONTH(F$6,0)=$A47,F$8,INDEX('Apartment Complex Loan'!$F:$F,MATCH($A47,'Apartment Complex Loan'!$D:$D,0))),0)</f>
        <v>0</v>
      </c>
      <c r="I47" s="3">
        <f t="shared" si="3"/>
        <v>46356</v>
      </c>
      <c r="J47" s="449">
        <f>-INDEX(Budget!$H$5:$BQ$25,MATCH($J$5,Budget!$H$5:$H$25,0),MATCH($A47,Budget!$H$5:$BQ$5,0))</f>
        <v>0</v>
      </c>
    </row>
    <row r="48" spans="1:10" hidden="1" outlineLevel="1" x14ac:dyDescent="0.25">
      <c r="A48" s="3">
        <f t="shared" si="4"/>
        <v>46387</v>
      </c>
      <c r="B48" s="2">
        <f t="shared" si="6"/>
        <v>18333.333333333332</v>
      </c>
      <c r="C48" s="2">
        <f t="shared" si="7"/>
        <v>0</v>
      </c>
      <c r="D48" s="2">
        <f t="shared" si="5"/>
        <v>25000</v>
      </c>
      <c r="E48" s="2">
        <f>_xlfn.IFNA(IF(EOMONTH(E$6,0)=$A48,E$8,INDEX('E-Commerce Loan'!$F:$F,MATCH($A48,'E-Commerce Loan'!$D:$D,0))),0)</f>
        <v>62672.730922861701</v>
      </c>
      <c r="F48" s="2">
        <f>_xlfn.IFNA(IF(EOMONTH(F$6,0)=$A48,F$8,INDEX('Apartment Complex Loan'!$F:$F,MATCH($A48,'Apartment Complex Loan'!$D:$D,0))),0)</f>
        <v>0</v>
      </c>
      <c r="I48" s="3">
        <f t="shared" si="3"/>
        <v>46387</v>
      </c>
      <c r="J48" s="449">
        <f>-INDEX(Budget!$H$5:$BQ$25,MATCH($J$5,Budget!$H$5:$H$25,0),MATCH($A48,Budget!$H$5:$BQ$5,0))</f>
        <v>0</v>
      </c>
    </row>
    <row r="49" spans="1:20" hidden="1" outlineLevel="1" x14ac:dyDescent="0.25">
      <c r="A49" s="3">
        <f t="shared" si="4"/>
        <v>46418</v>
      </c>
      <c r="B49" s="2">
        <f t="shared" si="6"/>
        <v>18333.333333333332</v>
      </c>
      <c r="C49" s="2">
        <f t="shared" si="7"/>
        <v>0</v>
      </c>
      <c r="D49" s="2">
        <f t="shared" ref="D49:D71" si="8">IF(EOMONTH(D$6,0)=$A49,D$8,IF(EOMONTH(D$7,0)=$A49,D$10,D$9))</f>
        <v>25000</v>
      </c>
      <c r="E49" s="2">
        <f>_xlfn.IFNA(IF(EOMONTH(E$6,0)=$A49,E$8,INDEX('E-Commerce Loan'!$F:$F,MATCH($A49,'E-Commerce Loan'!$D:$D,0))),0)</f>
        <v>62672.730922861701</v>
      </c>
      <c r="F49" s="2">
        <f>_xlfn.IFNA(IF(EOMONTH(F$6,0)=$A49,F$8,INDEX('Apartment Complex Loan'!$F:$F,MATCH($A49,'Apartment Complex Loan'!$D:$D,0))),0)</f>
        <v>0</v>
      </c>
      <c r="I49" s="3">
        <f t="shared" si="3"/>
        <v>46418</v>
      </c>
      <c r="J49" s="449">
        <f>-INDEX(Budget!$H$5:$BQ$25,MATCH($J$5,Budget!$H$5:$H$25,0),MATCH($A49,Budget!$H$5:$BQ$5,0))</f>
        <v>0</v>
      </c>
    </row>
    <row r="50" spans="1:20" hidden="1" outlineLevel="1" x14ac:dyDescent="0.25">
      <c r="A50" s="3">
        <f t="shared" si="4"/>
        <v>46446</v>
      </c>
      <c r="B50" s="2">
        <f t="shared" si="6"/>
        <v>18333.333333333332</v>
      </c>
      <c r="C50" s="2">
        <f t="shared" si="7"/>
        <v>0</v>
      </c>
      <c r="D50" s="2">
        <f t="shared" si="8"/>
        <v>25000</v>
      </c>
      <c r="E50" s="2">
        <f>_xlfn.IFNA(IF(EOMONTH(E$6,0)=$A50,E$8,INDEX('E-Commerce Loan'!$F:$F,MATCH($A50,'E-Commerce Loan'!$D:$D,0))),0)</f>
        <v>62672.730922861701</v>
      </c>
      <c r="F50" s="2">
        <f>_xlfn.IFNA(IF(EOMONTH(F$6,0)=$A50,F$8,INDEX('Apartment Complex Loan'!$F:$F,MATCH($A50,'Apartment Complex Loan'!$D:$D,0))),0)</f>
        <v>0</v>
      </c>
      <c r="I50" s="3">
        <f t="shared" si="3"/>
        <v>46446</v>
      </c>
      <c r="J50" s="449">
        <f>-INDEX(Budget!$H$5:$BQ$25,MATCH($J$5,Budget!$H$5:$H$25,0),MATCH($A50,Budget!$H$5:$BQ$5,0))</f>
        <v>0</v>
      </c>
    </row>
    <row r="51" spans="1:20" hidden="1" outlineLevel="1" x14ac:dyDescent="0.25">
      <c r="A51" s="3">
        <f t="shared" si="4"/>
        <v>46477</v>
      </c>
      <c r="B51" s="2">
        <f t="shared" si="6"/>
        <v>18333.333333333332</v>
      </c>
      <c r="C51" s="2">
        <f t="shared" si="7"/>
        <v>0</v>
      </c>
      <c r="D51" s="2">
        <f t="shared" si="8"/>
        <v>25000</v>
      </c>
      <c r="E51" s="2">
        <f>_xlfn.IFNA(IF(EOMONTH(E$6,0)=$A51,E$8,INDEX('E-Commerce Loan'!$F:$F,MATCH($A51,'E-Commerce Loan'!$D:$D,0))),0)</f>
        <v>62672.730922861701</v>
      </c>
      <c r="F51" s="2">
        <f>_xlfn.IFNA(IF(EOMONTH(F$6,0)=$A51,F$8,INDEX('Apartment Complex Loan'!$F:$F,MATCH($A51,'Apartment Complex Loan'!$D:$D,0))),0)</f>
        <v>0</v>
      </c>
      <c r="I51" s="3">
        <f t="shared" si="3"/>
        <v>46477</v>
      </c>
      <c r="J51" s="449">
        <f>-INDEX(Budget!$H$5:$BQ$25,MATCH($J$5,Budget!$H$5:$H$25,0),MATCH($A51,Budget!$H$5:$BQ$5,0))</f>
        <v>0</v>
      </c>
    </row>
    <row r="52" spans="1:20" hidden="1" outlineLevel="1" x14ac:dyDescent="0.25">
      <c r="A52" s="3">
        <f t="shared" si="4"/>
        <v>46507</v>
      </c>
      <c r="B52" s="2">
        <f t="shared" si="6"/>
        <v>18333.333333333332</v>
      </c>
      <c r="C52" s="2">
        <f t="shared" si="7"/>
        <v>0</v>
      </c>
      <c r="D52" s="2">
        <f t="shared" si="8"/>
        <v>25000</v>
      </c>
      <c r="E52" s="2">
        <f>_xlfn.IFNA(IF(EOMONTH(E$6,0)=$A52,E$8,INDEX('E-Commerce Loan'!$F:$F,MATCH($A52,'E-Commerce Loan'!$D:$D,0))),0)</f>
        <v>62672.730922861701</v>
      </c>
      <c r="F52" s="2">
        <f>_xlfn.IFNA(IF(EOMONTH(F$6,0)=$A52,F$8,INDEX('Apartment Complex Loan'!$F:$F,MATCH($A52,'Apartment Complex Loan'!$D:$D,0))),0)</f>
        <v>0</v>
      </c>
      <c r="I52" s="3">
        <f t="shared" si="3"/>
        <v>46507</v>
      </c>
      <c r="J52" s="449">
        <f>-INDEX(Budget!$H$5:$BQ$25,MATCH($J$5,Budget!$H$5:$H$25,0),MATCH($A52,Budget!$H$5:$BQ$5,0))</f>
        <v>0</v>
      </c>
    </row>
    <row r="53" spans="1:20" ht="15.75" collapsed="1" thickBot="1" x14ac:dyDescent="0.3">
      <c r="A53" s="3">
        <f t="shared" si="4"/>
        <v>46538</v>
      </c>
      <c r="B53" s="2">
        <f t="shared" si="6"/>
        <v>18333.333333333332</v>
      </c>
      <c r="C53" s="2">
        <f t="shared" si="7"/>
        <v>0</v>
      </c>
      <c r="D53" s="2">
        <f t="shared" si="8"/>
        <v>25000</v>
      </c>
      <c r="E53" s="2">
        <f>_xlfn.IFNA(IF(EOMONTH(E$6,0)=$A53,E$8,INDEX('E-Commerce Loan'!$F:$F,MATCH($A53,'E-Commerce Loan'!$D:$D,0))),0)</f>
        <v>62672.730922861701</v>
      </c>
      <c r="F53" s="2">
        <f>_xlfn.IFNA(IF(EOMONTH(F$6,0)=$A53,F$8,INDEX('Apartment Complex Loan'!$F:$F,MATCH($A53,'Apartment Complex Loan'!$D:$D,0))),0)</f>
        <v>0</v>
      </c>
      <c r="I53" s="3">
        <f>+I24</f>
        <v>45657</v>
      </c>
      <c r="J53" s="449">
        <f>+'Changes in Partners'' Capital'!H15</f>
        <v>9741183.0504584201</v>
      </c>
      <c r="K53" s="445" t="s">
        <v>576</v>
      </c>
      <c r="L53" s="375"/>
      <c r="M53" s="431">
        <f>+M24+M23+M22+M21</f>
        <v>339770.17566417455</v>
      </c>
      <c r="N53" s="431">
        <f t="shared" ref="N53:S53" si="9">+N24+N23+N22+N21</f>
        <v>260000</v>
      </c>
      <c r="O53" s="431">
        <f t="shared" si="9"/>
        <v>-300000</v>
      </c>
      <c r="P53" s="431">
        <f t="shared" si="9"/>
        <v>-206000</v>
      </c>
      <c r="Q53" s="431">
        <f t="shared" si="9"/>
        <v>0</v>
      </c>
      <c r="R53" s="431">
        <f t="shared" si="9"/>
        <v>4600000</v>
      </c>
      <c r="S53" s="431">
        <f t="shared" si="9"/>
        <v>1000000</v>
      </c>
      <c r="T53" s="442">
        <f>SUM(M53:S53)-'Income Statement'!H37</f>
        <v>0</v>
      </c>
    </row>
    <row r="54" spans="1:20" x14ac:dyDescent="0.25">
      <c r="A54" s="3">
        <f t="shared" si="4"/>
        <v>46568</v>
      </c>
      <c r="B54" s="2">
        <f t="shared" si="6"/>
        <v>18333.333333333332</v>
      </c>
      <c r="C54" s="2">
        <f t="shared" si="7"/>
        <v>0</v>
      </c>
      <c r="D54" s="2">
        <f t="shared" si="8"/>
        <v>25000</v>
      </c>
      <c r="E54" s="2">
        <f>_xlfn.IFNA(IF(EOMONTH(E$6,0)=$A54,E$8,INDEX('E-Commerce Loan'!$F:$F,MATCH($A54,'E-Commerce Loan'!$D:$D,0))),0)</f>
        <v>0</v>
      </c>
      <c r="F54" s="2">
        <f>_xlfn.IFNA(IF(EOMONTH(F$6,0)=$A54,F$8,INDEX('Apartment Complex Loan'!$F:$F,MATCH($A54,'Apartment Complex Loan'!$D:$D,0))),0)</f>
        <v>0</v>
      </c>
      <c r="J54" s="449"/>
      <c r="L54" s="426" cm="1">
        <f t="array" ref="L54:P61">TRANSPOSE(L20:S24)</f>
        <v>0</v>
      </c>
      <c r="M54" s="427">
        <v>45382</v>
      </c>
      <c r="N54" s="427">
        <v>45473</v>
      </c>
      <c r="O54" s="427">
        <v>45565</v>
      </c>
      <c r="P54" s="428">
        <v>45657</v>
      </c>
    </row>
    <row r="55" spans="1:20" x14ac:dyDescent="0.25">
      <c r="A55" s="3">
        <f t="shared" si="4"/>
        <v>46599</v>
      </c>
      <c r="B55" s="2">
        <f t="shared" si="6"/>
        <v>18333.333333333332</v>
      </c>
      <c r="C55" s="2">
        <f t="shared" si="7"/>
        <v>0</v>
      </c>
      <c r="D55" s="2">
        <f t="shared" si="8"/>
        <v>25000</v>
      </c>
      <c r="E55" s="2">
        <f>_xlfn.IFNA(IF(EOMONTH(E$6,0)=$A55,E$8,INDEX('E-Commerce Loan'!$F:$F,MATCH($A55,'E-Commerce Loan'!$D:$D,0))),0)</f>
        <v>0</v>
      </c>
      <c r="F55" s="2">
        <f>_xlfn.IFNA(IF(EOMONTH(F$6,0)=$A55,F$8,INDEX('Apartment Complex Loan'!$F:$F,MATCH($A55,'Apartment Complex Loan'!$D:$D,0))),0)</f>
        <v>0</v>
      </c>
      <c r="I55" s="410" t="s">
        <v>585</v>
      </c>
      <c r="J55" s="449"/>
      <c r="L55" s="455" t="str">
        <v>Interest Income</v>
      </c>
      <c r="M55" s="412">
        <v>0</v>
      </c>
      <c r="N55" s="412">
        <v>50833.333333333336</v>
      </c>
      <c r="O55" s="412">
        <v>147956.16898860098</v>
      </c>
      <c r="P55" s="413">
        <v>140980.67334224028</v>
      </c>
    </row>
    <row r="56" spans="1:20" x14ac:dyDescent="0.25">
      <c r="A56" s="3">
        <f t="shared" si="4"/>
        <v>46630</v>
      </c>
      <c r="B56" s="2">
        <f t="shared" si="6"/>
        <v>18333.333333333332</v>
      </c>
      <c r="C56" s="2">
        <f t="shared" si="7"/>
        <v>0</v>
      </c>
      <c r="D56" s="2">
        <f t="shared" si="8"/>
        <v>25000</v>
      </c>
      <c r="E56" s="2">
        <f>_xlfn.IFNA(IF(EOMONTH(E$6,0)=$A56,E$8,INDEX('E-Commerce Loan'!$F:$F,MATCH($A56,'E-Commerce Loan'!$D:$D,0))),0)</f>
        <v>0</v>
      </c>
      <c r="F56" s="2">
        <f>_xlfn.IFNA(IF(EOMONTH(F$6,0)=$A56,F$8,INDEX('Apartment Complex Loan'!$F:$F,MATCH($A56,'Apartment Complex Loan'!$D:$D,0))),0)</f>
        <v>0</v>
      </c>
      <c r="I56" s="410" t="s">
        <v>578</v>
      </c>
      <c r="J56" s="449"/>
      <c r="L56" s="455" t="str">
        <v>Dividend Income</v>
      </c>
      <c r="M56" s="412">
        <v>36666.666666666664</v>
      </c>
      <c r="N56" s="412">
        <v>63333.333333333336</v>
      </c>
      <c r="O56" s="412">
        <v>80000</v>
      </c>
      <c r="P56" s="413">
        <v>80000</v>
      </c>
    </row>
    <row r="57" spans="1:20" x14ac:dyDescent="0.25">
      <c r="A57" s="3">
        <f t="shared" si="4"/>
        <v>46660</v>
      </c>
      <c r="B57" s="2">
        <f t="shared" si="6"/>
        <v>18333.333333333332</v>
      </c>
      <c r="C57" s="2">
        <f t="shared" si="7"/>
        <v>0</v>
      </c>
      <c r="D57" s="2">
        <f t="shared" si="8"/>
        <v>25000</v>
      </c>
      <c r="E57" s="2">
        <f>_xlfn.IFNA(IF(EOMONTH(E$6,0)=$A57,E$8,INDEX('E-Commerce Loan'!$F:$F,MATCH($A57,'E-Commerce Loan'!$D:$D,0))),0)</f>
        <v>0</v>
      </c>
      <c r="F57" s="2">
        <f>_xlfn.IFNA(IF(EOMONTH(F$6,0)=$A57,F$8,INDEX('Apartment Complex Loan'!$F:$F,MATCH($A57,'Apartment Complex Loan'!$D:$D,0))),0)</f>
        <v>0</v>
      </c>
      <c r="I57" s="410" t="s">
        <v>579</v>
      </c>
      <c r="J57" s="449"/>
      <c r="L57" s="455" t="str">
        <v>Management Fee</v>
      </c>
      <c r="M57" s="412">
        <v>-75000</v>
      </c>
      <c r="N57" s="412">
        <v>-75000</v>
      </c>
      <c r="O57" s="412">
        <v>-75000</v>
      </c>
      <c r="P57" s="413">
        <v>-75000</v>
      </c>
    </row>
    <row r="58" spans="1:20" x14ac:dyDescent="0.25">
      <c r="A58" s="3">
        <f t="shared" si="4"/>
        <v>46691</v>
      </c>
      <c r="B58" s="2">
        <f t="shared" si="6"/>
        <v>18333.333333333332</v>
      </c>
      <c r="C58" s="2">
        <f t="shared" si="7"/>
        <v>0</v>
      </c>
      <c r="D58" s="2">
        <f t="shared" si="8"/>
        <v>25000</v>
      </c>
      <c r="E58" s="2">
        <f>_xlfn.IFNA(IF(EOMONTH(E$6,0)=$A58,E$8,INDEX('E-Commerce Loan'!$F:$F,MATCH($A58,'E-Commerce Loan'!$D:$D,0))),0)</f>
        <v>0</v>
      </c>
      <c r="F58" s="2">
        <f>_xlfn.IFNA(IF(EOMONTH(F$6,0)=$A58,F$8,INDEX('Apartment Complex Loan'!$F:$F,MATCH($A58,'Apartment Complex Loan'!$D:$D,0))),0)</f>
        <v>0</v>
      </c>
      <c r="I58" s="410" t="s">
        <v>582</v>
      </c>
      <c r="J58" s="449"/>
      <c r="L58" s="455" t="str">
        <v>Professional Fees</v>
      </c>
      <c r="M58" s="412">
        <v>-107750</v>
      </c>
      <c r="N58" s="412">
        <v>-32750</v>
      </c>
      <c r="O58" s="412">
        <v>-32750</v>
      </c>
      <c r="P58" s="413">
        <v>-32750</v>
      </c>
    </row>
    <row r="59" spans="1:20" x14ac:dyDescent="0.25">
      <c r="A59" s="3">
        <f t="shared" si="4"/>
        <v>46721</v>
      </c>
      <c r="B59" s="2">
        <f t="shared" si="6"/>
        <v>18333.333333333332</v>
      </c>
      <c r="C59" s="2">
        <f t="shared" si="7"/>
        <v>0</v>
      </c>
      <c r="D59" s="2">
        <f t="shared" si="8"/>
        <v>25000</v>
      </c>
      <c r="E59" s="2">
        <f>_xlfn.IFNA(IF(EOMONTH(E$6,0)=$A59,E$8,INDEX('E-Commerce Loan'!$F:$F,MATCH($A59,'E-Commerce Loan'!$D:$D,0))),0)</f>
        <v>0</v>
      </c>
      <c r="F59" s="2">
        <f>_xlfn.IFNA(IF(EOMONTH(F$6,0)=$A59,F$8,INDEX('Apartment Complex Loan'!$F:$F,MATCH($A59,'Apartment Complex Loan'!$D:$D,0))),0)</f>
        <v>0</v>
      </c>
      <c r="J59" s="449"/>
      <c r="L59" s="455" t="str">
        <v>Organizational Costs</v>
      </c>
      <c r="M59" s="412">
        <v>0</v>
      </c>
      <c r="N59" s="412">
        <v>0</v>
      </c>
      <c r="O59" s="412">
        <v>0</v>
      </c>
      <c r="P59" s="413">
        <v>0</v>
      </c>
    </row>
    <row r="60" spans="1:20" x14ac:dyDescent="0.25">
      <c r="A60" s="3">
        <f t="shared" si="4"/>
        <v>46752</v>
      </c>
      <c r="B60" s="2">
        <f t="shared" si="6"/>
        <v>18333.333333333332</v>
      </c>
      <c r="C60" s="2">
        <f t="shared" si="7"/>
        <v>0</v>
      </c>
      <c r="D60" s="2">
        <f t="shared" si="8"/>
        <v>25000</v>
      </c>
      <c r="E60" s="2">
        <f>_xlfn.IFNA(IF(EOMONTH(E$6,0)=$A60,E$8,INDEX('E-Commerce Loan'!$F:$F,MATCH($A60,'E-Commerce Loan'!$D:$D,0))),0)</f>
        <v>0</v>
      </c>
      <c r="F60" s="2">
        <f>_xlfn.IFNA(IF(EOMONTH(F$6,0)=$A60,F$8,INDEX('Apartment Complex Loan'!$F:$F,MATCH($A60,'Apartment Complex Loan'!$D:$D,0))),0)</f>
        <v>0</v>
      </c>
      <c r="I60" s="410" t="s">
        <v>583</v>
      </c>
      <c r="J60" s="449"/>
      <c r="L60" s="455" t="str">
        <v>Net realized gain (loss) from investments</v>
      </c>
      <c r="M60" s="412">
        <v>0</v>
      </c>
      <c r="N60" s="412">
        <v>0</v>
      </c>
      <c r="O60" s="412">
        <v>0</v>
      </c>
      <c r="P60" s="413">
        <v>4600000</v>
      </c>
    </row>
    <row r="61" spans="1:20" ht="15.75" thickBot="1" x14ac:dyDescent="0.3">
      <c r="A61" s="3">
        <f t="shared" si="4"/>
        <v>46783</v>
      </c>
      <c r="B61" s="2">
        <f t="shared" si="6"/>
        <v>18333.333333333332</v>
      </c>
      <c r="C61" s="2">
        <f t="shared" si="7"/>
        <v>0</v>
      </c>
      <c r="D61" s="2">
        <f t="shared" si="8"/>
        <v>25000</v>
      </c>
      <c r="E61" s="2">
        <f>_xlfn.IFNA(IF(EOMONTH(E$6,0)=$A61,E$8,INDEX('E-Commerce Loan'!$F:$F,MATCH($A61,'E-Commerce Loan'!$D:$D,0))),0)</f>
        <v>0</v>
      </c>
      <c r="F61" s="2">
        <f>_xlfn.IFNA(IF(EOMONTH(F$6,0)=$A61,F$8,INDEX('Apartment Complex Loan'!$F:$F,MATCH($A61,'Apartment Complex Loan'!$D:$D,0))),0)</f>
        <v>0</v>
      </c>
      <c r="I61" s="410" t="s">
        <v>580</v>
      </c>
      <c r="J61" s="449"/>
      <c r="L61" s="456" t="str">
        <v>Net change in unrealized gains and losses on investments</v>
      </c>
      <c r="M61" s="414">
        <v>0</v>
      </c>
      <c r="N61" s="414">
        <v>0</v>
      </c>
      <c r="O61" s="414">
        <v>0</v>
      </c>
      <c r="P61" s="415">
        <v>1000000</v>
      </c>
    </row>
    <row r="62" spans="1:20" ht="15.75" thickBot="1" x14ac:dyDescent="0.3">
      <c r="A62" s="3">
        <f t="shared" si="4"/>
        <v>46812</v>
      </c>
      <c r="B62" s="2">
        <f t="shared" si="6"/>
        <v>18333.333333333332</v>
      </c>
      <c r="C62" s="2">
        <f t="shared" si="7"/>
        <v>0</v>
      </c>
      <c r="D62" s="2">
        <f t="shared" si="8"/>
        <v>25000</v>
      </c>
      <c r="E62" s="2">
        <f>_xlfn.IFNA(IF(EOMONTH(E$6,0)=$A62,E$8,INDEX('E-Commerce Loan'!$F:$F,MATCH($A62,'E-Commerce Loan'!$D:$D,0))),0)</f>
        <v>0</v>
      </c>
      <c r="F62" s="2">
        <f>_xlfn.IFNA(IF(EOMONTH(F$6,0)=$A62,F$8,INDEX('Apartment Complex Loan'!$F:$F,MATCH($A62,'Apartment Complex Loan'!$D:$D,0))),0)</f>
        <v>0</v>
      </c>
      <c r="I62" s="410"/>
      <c r="J62" s="449"/>
    </row>
    <row r="63" spans="1:20" x14ac:dyDescent="0.25">
      <c r="A63" s="3">
        <f t="shared" si="4"/>
        <v>46843</v>
      </c>
      <c r="B63" s="2">
        <f t="shared" si="6"/>
        <v>18333.333333333332</v>
      </c>
      <c r="C63" s="2">
        <f t="shared" si="7"/>
        <v>0</v>
      </c>
      <c r="D63" s="2">
        <f t="shared" si="8"/>
        <v>25000</v>
      </c>
      <c r="E63" s="2">
        <f>_xlfn.IFNA(IF(EOMONTH(E$6,0)=$A63,E$8,INDEX('E-Commerce Loan'!$F:$F,MATCH($A63,'E-Commerce Loan'!$D:$D,0))),0)</f>
        <v>0</v>
      </c>
      <c r="F63" s="2">
        <f>_xlfn.IFNA(IF(EOMONTH(F$6,0)=$A63,F$8,INDEX('Apartment Complex Loan'!$F:$F,MATCH($A63,'Apartment Complex Loan'!$D:$D,0))),0)</f>
        <v>0</v>
      </c>
      <c r="I63" s="410"/>
      <c r="J63" s="449"/>
      <c r="L63" s="416"/>
      <c r="M63" s="417" t="str">
        <f>+'Income Statement'!C37</f>
        <v>Net income</v>
      </c>
      <c r="N63" s="417" t="s">
        <v>70</v>
      </c>
      <c r="O63" s="419" t="s">
        <v>588</v>
      </c>
    </row>
    <row r="64" spans="1:20" x14ac:dyDescent="0.25">
      <c r="A64" s="3">
        <f t="shared" si="4"/>
        <v>46873</v>
      </c>
      <c r="B64" s="2">
        <f t="shared" si="6"/>
        <v>18333.333333333332</v>
      </c>
      <c r="C64" s="2">
        <f t="shared" si="7"/>
        <v>0</v>
      </c>
      <c r="D64" s="2">
        <f t="shared" si="8"/>
        <v>25000</v>
      </c>
      <c r="E64" s="2">
        <f>_xlfn.IFNA(IF(EOMONTH(E$6,0)=$A64,E$8,INDEX('E-Commerce Loan'!$F:$F,MATCH($A64,'E-Commerce Loan'!$D:$D,0))),0)</f>
        <v>0</v>
      </c>
      <c r="F64" s="2">
        <f>_xlfn.IFNA(IF(EOMONTH(F$6,0)=$A64,F$8,INDEX('Apartment Complex Loan'!$F:$F,MATCH($A64,'Apartment Complex Loan'!$D:$D,0))),0)</f>
        <v>0</v>
      </c>
      <c r="J64" s="449"/>
      <c r="L64" s="451">
        <f>+L13</f>
        <v>45382</v>
      </c>
      <c r="M64" s="412">
        <f>INDEX('Income Statement'!$C$7:$H$37,MATCH($M$63,'Income Statement'!$C$7:$C$37,0),MATCH($L64,'Income Statement'!$C$7:$H$7,0))</f>
        <v>-146083.33333333334</v>
      </c>
      <c r="N64" s="412">
        <f>HLOOKUP(L64,Budget!$J$5:$T$13,9,0)</f>
        <v>5600000</v>
      </c>
      <c r="O64" s="424">
        <f>+M64/N64</f>
        <v>-2.6086309523809526E-2</v>
      </c>
    </row>
    <row r="65" spans="1:17" x14ac:dyDescent="0.25">
      <c r="A65" s="3">
        <f t="shared" si="4"/>
        <v>46904</v>
      </c>
      <c r="B65" s="2">
        <f t="shared" si="6"/>
        <v>18333.333333333332</v>
      </c>
      <c r="C65" s="2">
        <f t="shared" si="7"/>
        <v>0</v>
      </c>
      <c r="D65" s="2">
        <f t="shared" si="8"/>
        <v>25000</v>
      </c>
      <c r="E65" s="2">
        <f>_xlfn.IFNA(IF(EOMONTH(E$6,0)=$A65,E$8,INDEX('E-Commerce Loan'!$F:$F,MATCH($A65,'E-Commerce Loan'!$D:$D,0))),0)</f>
        <v>0</v>
      </c>
      <c r="F65" s="2">
        <f>_xlfn.IFNA(IF(EOMONTH(F$6,0)=$A65,F$8,INDEX('Apartment Complex Loan'!$F:$F,MATCH($A65,'Apartment Complex Loan'!$D:$D,0))),0)</f>
        <v>0</v>
      </c>
      <c r="J65" s="449"/>
      <c r="L65" s="451">
        <f t="shared" ref="L65:L67" si="10">+L14</f>
        <v>45473</v>
      </c>
      <c r="M65" s="412">
        <f>INDEX('Income Statement'!$C$7:$H$37,MATCH($M$63,'Income Statement'!$C$7:$C$37,0),MATCH($L65,'Income Statement'!$C$7:$H$7,0))</f>
        <v>-139666.66666666666</v>
      </c>
      <c r="N65" s="412">
        <f>HLOOKUP(L65,Budget!$J$5:$T$13,9,0)</f>
        <v>15000000</v>
      </c>
      <c r="O65" s="424">
        <f t="shared" ref="O65:O67" si="11">+M65/N65</f>
        <v>-9.3111111111111103E-3</v>
      </c>
    </row>
    <row r="66" spans="1:17" x14ac:dyDescent="0.25">
      <c r="A66" s="3">
        <f t="shared" si="4"/>
        <v>46934</v>
      </c>
      <c r="B66" s="2">
        <f t="shared" si="6"/>
        <v>18333.333333333332</v>
      </c>
      <c r="C66" s="2">
        <f t="shared" si="7"/>
        <v>0</v>
      </c>
      <c r="D66" s="2">
        <f t="shared" si="8"/>
        <v>25000</v>
      </c>
      <c r="E66" s="2">
        <f>_xlfn.IFNA(IF(EOMONTH(E$6,0)=$A66,E$8,INDEX('E-Commerce Loan'!$F:$F,MATCH($A66,'E-Commerce Loan'!$D:$D,0))),0)</f>
        <v>0</v>
      </c>
      <c r="F66" s="2">
        <f>_xlfn.IFNA(IF(EOMONTH(F$6,0)=$A66,F$8,INDEX('Apartment Complex Loan'!$F:$F,MATCH($A66,'Apartment Complex Loan'!$D:$D,0))),0)</f>
        <v>0</v>
      </c>
      <c r="J66" s="449"/>
      <c r="L66" s="451">
        <f t="shared" si="10"/>
        <v>45565</v>
      </c>
      <c r="M66" s="412">
        <f>INDEX('Income Statement'!$C$7:$H$37,MATCH($M$63,'Income Statement'!$C$7:$C$37,0),MATCH($L66,'Income Statement'!$C$7:$H$7,0))</f>
        <v>-19460.497678065673</v>
      </c>
      <c r="N66" s="412">
        <f>HLOOKUP(L66,Budget!$J$5:$T$13,9,0)</f>
        <v>15000000</v>
      </c>
      <c r="O66" s="424">
        <f t="shared" si="11"/>
        <v>-1.2973665118710448E-3</v>
      </c>
    </row>
    <row r="67" spans="1:17" ht="15.75" thickBot="1" x14ac:dyDescent="0.3">
      <c r="A67" s="3">
        <f t="shared" si="4"/>
        <v>46965</v>
      </c>
      <c r="B67" s="2">
        <f t="shared" si="6"/>
        <v>18333.333333333332</v>
      </c>
      <c r="C67" s="2">
        <f t="shared" si="7"/>
        <v>0</v>
      </c>
      <c r="D67" s="2">
        <f t="shared" si="8"/>
        <v>25000</v>
      </c>
      <c r="E67" s="2">
        <f>_xlfn.IFNA(IF(EOMONTH(E$6,0)=$A67,E$8,INDEX('E-Commerce Loan'!$F:$F,MATCH($A67,'E-Commerce Loan'!$D:$D,0))),0)</f>
        <v>0</v>
      </c>
      <c r="F67" s="2">
        <f>_xlfn.IFNA(IF(EOMONTH(F$6,0)=$A67,F$8,INDEX('Apartment Complex Loan'!$F:$F,MATCH($A67,'Apartment Complex Loan'!$D:$D,0))),0)</f>
        <v>0</v>
      </c>
      <c r="J67" s="449"/>
      <c r="L67" s="452">
        <f t="shared" si="10"/>
        <v>45657</v>
      </c>
      <c r="M67" s="414">
        <f>INDEX('Income Statement'!$C$7:$H$37,MATCH($M$63,'Income Statement'!$C$7:$C$37,0),MATCH($L67,'Income Statement'!$C$7:$H$7,0))</f>
        <v>5693770.1756641744</v>
      </c>
      <c r="N67" s="414">
        <f>+N66</f>
        <v>15000000</v>
      </c>
      <c r="O67" s="425">
        <f t="shared" si="11"/>
        <v>0.37958467837761162</v>
      </c>
    </row>
    <row r="68" spans="1:17" x14ac:dyDescent="0.25">
      <c r="A68" s="3">
        <f t="shared" si="4"/>
        <v>46996</v>
      </c>
      <c r="B68" s="2">
        <f t="shared" si="6"/>
        <v>18333.333333333332</v>
      </c>
      <c r="C68" s="2">
        <f t="shared" si="7"/>
        <v>0</v>
      </c>
      <c r="D68" s="2">
        <f t="shared" si="8"/>
        <v>25000</v>
      </c>
      <c r="E68" s="2">
        <f>_xlfn.IFNA(IF(EOMONTH(E$6,0)=$A68,E$8,INDEX('E-Commerce Loan'!$F:$F,MATCH($A68,'E-Commerce Loan'!$D:$D,0))),0)</f>
        <v>0</v>
      </c>
      <c r="F68" s="2">
        <f>_xlfn.IFNA(IF(EOMONTH(F$6,0)=$A68,F$8,INDEX('Apartment Complex Loan'!$F:$F,MATCH($A68,'Apartment Complex Loan'!$D:$D,0))),0)</f>
        <v>0</v>
      </c>
      <c r="J68" s="449"/>
    </row>
    <row r="69" spans="1:17" x14ac:dyDescent="0.25">
      <c r="A69" s="3">
        <f t="shared" si="4"/>
        <v>47026</v>
      </c>
      <c r="B69" s="2">
        <f t="shared" si="6"/>
        <v>18333.333333333332</v>
      </c>
      <c r="C69" s="2">
        <f t="shared" si="7"/>
        <v>0</v>
      </c>
      <c r="D69" s="2">
        <f t="shared" si="8"/>
        <v>25000</v>
      </c>
      <c r="E69" s="2">
        <f>_xlfn.IFNA(IF(EOMONTH(E$6,0)=$A69,E$8,INDEX('E-Commerce Loan'!$F:$F,MATCH($A69,'E-Commerce Loan'!$D:$D,0))),0)</f>
        <v>0</v>
      </c>
      <c r="F69" s="2">
        <f>_xlfn.IFNA(IF(EOMONTH(F$6,0)=$A69,F$8,INDEX('Apartment Complex Loan'!$F:$F,MATCH($A69,'Apartment Complex Loan'!$D:$D,0))),0)</f>
        <v>0</v>
      </c>
      <c r="J69" s="449"/>
      <c r="L69" s="457" t="s">
        <v>589</v>
      </c>
      <c r="M69" s="449"/>
      <c r="N69" s="449"/>
    </row>
    <row r="70" spans="1:17" x14ac:dyDescent="0.25">
      <c r="A70" s="3">
        <f t="shared" si="4"/>
        <v>47057</v>
      </c>
      <c r="B70" s="2">
        <f t="shared" si="6"/>
        <v>18333.333333333332</v>
      </c>
      <c r="C70" s="2">
        <f t="shared" si="7"/>
        <v>0</v>
      </c>
      <c r="D70" s="2">
        <f t="shared" si="8"/>
        <v>25000</v>
      </c>
      <c r="E70" s="2">
        <f>_xlfn.IFNA(IF(EOMONTH(E$6,0)=$A70,E$8,INDEX('E-Commerce Loan'!$F:$F,MATCH($A70,'E-Commerce Loan'!$D:$D,0))),0)</f>
        <v>0</v>
      </c>
      <c r="F70" s="2">
        <f>_xlfn.IFNA(IF(EOMONTH(F$6,0)=$A70,F$8,INDEX('Apartment Complex Loan'!$F:$F,MATCH($A70,'Apartment Complex Loan'!$D:$D,0))),0)</f>
        <v>0</v>
      </c>
      <c r="J70" s="449"/>
      <c r="L70" t="s">
        <v>591</v>
      </c>
    </row>
    <row r="71" spans="1:17" ht="15.75" thickBot="1" x14ac:dyDescent="0.3">
      <c r="A71" s="3">
        <f t="shared" si="4"/>
        <v>47087</v>
      </c>
      <c r="B71" s="2">
        <f t="shared" si="6"/>
        <v>18333.333333333332</v>
      </c>
      <c r="C71" s="2">
        <f t="shared" si="7"/>
        <v>0</v>
      </c>
      <c r="D71" s="2">
        <f t="shared" si="8"/>
        <v>25000</v>
      </c>
      <c r="E71" s="2">
        <f>_xlfn.IFNA(IF(EOMONTH(E$6,0)=$A71,E$8,INDEX('E-Commerce Loan'!$F:$F,MATCH($A71,'E-Commerce Loan'!$D:$D,0))),0)</f>
        <v>0</v>
      </c>
      <c r="F71" s="2">
        <f>_xlfn.IFNA(IF(EOMONTH(F$6,0)=$A71,F$8,INDEX('Apartment Complex Loan'!$F:$F,MATCH($A71,'Apartment Complex Loan'!$D:$D,0))),0)</f>
        <v>0</v>
      </c>
      <c r="J71" s="449"/>
    </row>
    <row r="72" spans="1:17" x14ac:dyDescent="0.25">
      <c r="A72" s="3">
        <f t="shared" si="4"/>
        <v>47118</v>
      </c>
      <c r="B72" s="2">
        <f>IF(EOMONTH(B$6,0)=$A72,B$8,IF(EOMONTH(B$7,0)=$A72,B$10,B$9))+B9</f>
        <v>1118333.3333333333</v>
      </c>
      <c r="C72" s="2">
        <f t="shared" si="7"/>
        <v>0</v>
      </c>
      <c r="D72" s="2">
        <f>IF(EOMONTH(D$6,0)=$A72,D$8,IF(EOMONTH(D$7,0)=$A72,D$10,D$9))+D9</f>
        <v>12025000</v>
      </c>
      <c r="E72" s="2">
        <f>_xlfn.IFNA(IF(EOMONTH(E$6,0)=$A72,E$8,INDEX('E-Commerce Loan'!$F:$F,MATCH($A72,'E-Commerce Loan'!$D:$D,0))),0)</f>
        <v>0</v>
      </c>
      <c r="F72" s="2">
        <f>_xlfn.IFNA(IF(EOMONTH(F$6,0)=$A72,F$8,INDEX('Apartment Complex Loan'!$F:$F,MATCH($A72,'Apartment Complex Loan'!$D:$D,0))),0)</f>
        <v>0</v>
      </c>
      <c r="J72" s="449"/>
      <c r="L72" s="416"/>
      <c r="M72" s="417" t="s">
        <v>592</v>
      </c>
      <c r="N72" s="417" t="str">
        <f>+'Balance Sheet'!C10</f>
        <v>Investments, at fair value</v>
      </c>
      <c r="O72" s="419" t="str">
        <f>+'Balance Sheet'!C18</f>
        <v>Loan/Notes receivable</v>
      </c>
    </row>
    <row r="73" spans="1:17" x14ac:dyDescent="0.25">
      <c r="L73" s="451">
        <f>+L64</f>
        <v>45382</v>
      </c>
      <c r="M73" s="412">
        <f>+O73+N73</f>
        <v>5400000</v>
      </c>
      <c r="N73" s="412">
        <f>INDEX('Balance Sheet'!$C$7:$H$49,MATCH(N$72,'Balance Sheet'!$C$7:$C$49,0),MATCH($L73,'Balance Sheet'!$C$7:$H$7,0))</f>
        <v>5400000</v>
      </c>
      <c r="O73" s="413">
        <f>INDEX('Balance Sheet'!$C$7:$H$49,MATCH(O$72,'Balance Sheet'!$C$7:$C$49,0),MATCH($L73,'Balance Sheet'!$C$7:$H$7,0))</f>
        <v>0</v>
      </c>
    </row>
    <row r="74" spans="1:17" x14ac:dyDescent="0.25">
      <c r="L74" s="451">
        <f t="shared" ref="L74:L76" si="12">+L65</f>
        <v>45473</v>
      </c>
      <c r="M74" s="412">
        <f>+O74+N74</f>
        <v>14316790.812151395</v>
      </c>
      <c r="N74" s="412">
        <f>INDEX('Balance Sheet'!$C$7:$H$49,MATCH(N$72,'Balance Sheet'!$C$7:$C$49,0),MATCH($L74,'Balance Sheet'!$C$7:$H$7,0))</f>
        <v>9400000</v>
      </c>
      <c r="O74" s="413">
        <f>INDEX('Balance Sheet'!$C$7:$H$49,MATCH(O$72,'Balance Sheet'!$C$7:$C$49,0),MATCH($L74,'Balance Sheet'!$C$7:$H$7,0))</f>
        <v>4916790.8121513957</v>
      </c>
    </row>
    <row r="75" spans="1:17" x14ac:dyDescent="0.25">
      <c r="L75" s="451">
        <f t="shared" si="12"/>
        <v>45565</v>
      </c>
      <c r="M75" s="412">
        <f>+O75+N75</f>
        <v>14062619.417594183</v>
      </c>
      <c r="N75" s="412">
        <f>INDEX('Balance Sheet'!$C$7:$H$49,MATCH(N$72,'Balance Sheet'!$C$7:$C$49,0),MATCH($L75,'Balance Sheet'!$C$7:$H$7,0))</f>
        <v>9400000</v>
      </c>
      <c r="O75" s="413">
        <f>INDEX('Balance Sheet'!$C$7:$H$49,MATCH(O$72,'Balance Sheet'!$C$7:$C$49,0),MATCH($L75,'Balance Sheet'!$C$7:$H$7,0))</f>
        <v>4662619.4175941832</v>
      </c>
    </row>
    <row r="76" spans="1:17" ht="15.75" thickBot="1" x14ac:dyDescent="0.3">
      <c r="L76" s="452">
        <f t="shared" si="12"/>
        <v>45657</v>
      </c>
      <c r="M76" s="414">
        <f>+O76+N76</f>
        <v>7447639.4373176899</v>
      </c>
      <c r="N76" s="414">
        <f>INDEX('Balance Sheet'!$C$7:$H$49,MATCH(N$72,'Balance Sheet'!$C$7:$C$49,0),MATCH($L76,'Balance Sheet'!$C$7:$H$7,0))</f>
        <v>5800000</v>
      </c>
      <c r="O76" s="415">
        <f>INDEX('Balance Sheet'!$C$7:$H$49,MATCH(O$72,'Balance Sheet'!$C$7:$C$49,0),MATCH($L76,'Balance Sheet'!$C$7:$H$7,0))</f>
        <v>1647639.4373176894</v>
      </c>
    </row>
    <row r="78" spans="1:17" ht="15.75" thickBot="1" x14ac:dyDescent="0.3"/>
    <row r="79" spans="1:17" x14ac:dyDescent="0.25">
      <c r="L79" s="458"/>
      <c r="M79" s="459" t="str">
        <f>+B5</f>
        <v>Laundromat</v>
      </c>
      <c r="N79" s="459" t="str">
        <f>+C5</f>
        <v>AI Tech</v>
      </c>
      <c r="O79" s="459" t="str">
        <f>+D5</f>
        <v>E-commerce Equity</v>
      </c>
      <c r="P79" s="459" t="str">
        <f>+E5</f>
        <v>E-commerce Loan</v>
      </c>
      <c r="Q79" s="460" t="str">
        <f>+F5</f>
        <v>Apartment Complex Loan</v>
      </c>
    </row>
    <row r="80" spans="1:17" x14ac:dyDescent="0.25">
      <c r="L80" s="455" t="s">
        <v>594</v>
      </c>
      <c r="M80" s="461">
        <f>DATEDIF(B6,B7,"m")</f>
        <v>59</v>
      </c>
      <c r="N80" s="461">
        <f>DATEDIF(C6,C7,"m")</f>
        <v>10</v>
      </c>
      <c r="O80" s="461">
        <f>DATEDIF(D6,D7,"m")</f>
        <v>55</v>
      </c>
      <c r="P80" s="461">
        <f>DATEDIF(E6,E7,"m")</f>
        <v>36</v>
      </c>
      <c r="Q80" s="462">
        <f>DATEDIF(F6,F7,"m")</f>
        <v>7</v>
      </c>
    </row>
    <row r="81" spans="12:17" x14ac:dyDescent="0.25">
      <c r="L81" s="451" t="str">
        <f t="shared" ref="L81:Q81" si="13">+A11</f>
        <v>IRR</v>
      </c>
      <c r="M81" s="463">
        <f t="shared" si="13"/>
        <v>0.35580078959465045</v>
      </c>
      <c r="N81" s="463">
        <f t="shared" si="13"/>
        <v>1.2984445929527286</v>
      </c>
      <c r="O81" s="463">
        <f t="shared" si="13"/>
        <v>0.33000189661979673</v>
      </c>
      <c r="P81" s="463">
        <f t="shared" si="13"/>
        <v>8.2952502369880707E-2</v>
      </c>
      <c r="Q81" s="464">
        <f t="shared" si="13"/>
        <v>0.15989870429039008</v>
      </c>
    </row>
    <row r="82" spans="12:17" ht="15.75" thickBot="1" x14ac:dyDescent="0.3">
      <c r="L82" s="452" t="str">
        <f>+A8</f>
        <v>Investment</v>
      </c>
      <c r="M82" s="429">
        <f>-B8</f>
        <v>800000</v>
      </c>
      <c r="N82" s="429">
        <f>-C8</f>
        <v>4600000</v>
      </c>
      <c r="O82" s="429">
        <f>-D8</f>
        <v>4000000</v>
      </c>
      <c r="P82" s="429">
        <f>-E8</f>
        <v>2000000</v>
      </c>
      <c r="Q82" s="430">
        <f>-F8</f>
        <v>3000000</v>
      </c>
    </row>
    <row r="85" spans="12:17" x14ac:dyDescent="0.25">
      <c r="L85" t="s">
        <v>593</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2B60D-7E9B-4063-A12D-A2F31D9C34F4}">
  <sheetPr>
    <tabColor theme="8" tint="0.79998168889431442"/>
  </sheetPr>
  <dimension ref="A1:I164"/>
  <sheetViews>
    <sheetView showGridLines="0" view="pageBreakPreview" zoomScale="70" zoomScaleNormal="85" zoomScaleSheetLayoutView="70" workbookViewId="0">
      <pane xSplit="1" ySplit="2" topLeftCell="B25" activePane="bottomRight" state="frozen"/>
      <selection sqref="A1:XFD1048576"/>
      <selection pane="topRight" sqref="A1:XFD1048576"/>
      <selection pane="bottomLeft" sqref="A1:XFD1048576"/>
      <selection pane="bottomRight" activeCell="C16" sqref="C16"/>
    </sheetView>
  </sheetViews>
  <sheetFormatPr defaultRowHeight="15.75" outlineLevelRow="1" x14ac:dyDescent="0.25"/>
  <cols>
    <col min="1" max="1" width="2" style="126" customWidth="1"/>
    <col min="2" max="2" width="5" style="126" customWidth="1"/>
    <col min="3" max="4" width="39.42578125" style="10" customWidth="1"/>
    <col min="5" max="5" width="116" style="10" customWidth="1"/>
    <col min="6" max="6" width="15" style="10" customWidth="1"/>
    <col min="7" max="7" width="8.140625" style="10" customWidth="1"/>
    <col min="8" max="8" width="24.28515625" style="10" customWidth="1"/>
    <col min="9" max="16384" width="9.140625" style="10"/>
  </cols>
  <sheetData>
    <row r="1" spans="1:8" ht="15.75" customHeight="1" x14ac:dyDescent="0.25">
      <c r="C1" s="555" t="str">
        <f>"Business Plan for "&amp;'FS Cover'!E4</f>
        <v>Business Plan for Good Practices Fund I, L.P.</v>
      </c>
      <c r="D1" s="555"/>
      <c r="E1" s="555"/>
      <c r="F1" s="555"/>
      <c r="G1" s="127"/>
      <c r="H1" s="11" t="s">
        <v>242</v>
      </c>
    </row>
    <row r="2" spans="1:8" ht="15.75" customHeight="1" x14ac:dyDescent="0.25">
      <c r="C2" s="555"/>
      <c r="D2" s="555"/>
      <c r="E2" s="555"/>
      <c r="F2" s="555"/>
      <c r="G2" s="524"/>
      <c r="H2" s="11" t="s">
        <v>325</v>
      </c>
    </row>
    <row r="3" spans="1:8" s="165" customFormat="1" ht="21" x14ac:dyDescent="0.35">
      <c r="A3" s="162"/>
      <c r="B3" s="163">
        <v>1</v>
      </c>
      <c r="C3" s="163" t="s">
        <v>299</v>
      </c>
      <c r="D3" s="164"/>
      <c r="E3" s="164"/>
      <c r="F3" s="164"/>
      <c r="G3" s="166"/>
      <c r="H3" s="11" t="s">
        <v>327</v>
      </c>
    </row>
    <row r="4" spans="1:8" outlineLevel="1" x14ac:dyDescent="0.25">
      <c r="G4" s="114"/>
      <c r="H4" s="11" t="s">
        <v>326</v>
      </c>
    </row>
    <row r="5" spans="1:8" ht="57" customHeight="1" outlineLevel="1" x14ac:dyDescent="0.25">
      <c r="C5" s="553" t="s">
        <v>340</v>
      </c>
      <c r="D5" s="553"/>
      <c r="E5" s="553"/>
      <c r="F5" s="553"/>
    </row>
    <row r="6" spans="1:8" outlineLevel="1" x14ac:dyDescent="0.25"/>
    <row r="7" spans="1:8" s="165" customFormat="1" ht="21" x14ac:dyDescent="0.35">
      <c r="A7" s="162"/>
      <c r="B7" s="163">
        <v>2</v>
      </c>
      <c r="C7" s="164" t="s">
        <v>331</v>
      </c>
      <c r="D7" s="164"/>
      <c r="E7" s="164"/>
      <c r="F7" s="164"/>
    </row>
    <row r="8" spans="1:8" outlineLevel="1" x14ac:dyDescent="0.25"/>
    <row r="9" spans="1:8" outlineLevel="1" x14ac:dyDescent="0.25">
      <c r="B9" s="126">
        <v>2.1</v>
      </c>
      <c r="C9" s="11" t="s">
        <v>300</v>
      </c>
    </row>
    <row r="10" spans="1:8" outlineLevel="1" x14ac:dyDescent="0.25">
      <c r="C10" s="108"/>
    </row>
    <row r="11" spans="1:8" outlineLevel="1" x14ac:dyDescent="0.25">
      <c r="C11" s="117" t="s">
        <v>341</v>
      </c>
    </row>
    <row r="12" spans="1:8" outlineLevel="1" x14ac:dyDescent="0.25">
      <c r="C12" s="117" t="s">
        <v>342</v>
      </c>
    </row>
    <row r="13" spans="1:8" outlineLevel="1" x14ac:dyDescent="0.25"/>
    <row r="14" spans="1:8" outlineLevel="1" x14ac:dyDescent="0.25">
      <c r="B14" s="126">
        <v>2.2000000000000002</v>
      </c>
      <c r="C14" s="11" t="s">
        <v>301</v>
      </c>
    </row>
    <row r="15" spans="1:8" outlineLevel="1" x14ac:dyDescent="0.25">
      <c r="C15" s="108"/>
    </row>
    <row r="16" spans="1:8" outlineLevel="1" x14ac:dyDescent="0.25">
      <c r="C16" s="117" t="s">
        <v>343</v>
      </c>
    </row>
    <row r="17" spans="1:9" outlineLevel="1" x14ac:dyDescent="0.25">
      <c r="C17" s="117" t="s">
        <v>344</v>
      </c>
    </row>
    <row r="18" spans="1:9" outlineLevel="1" x14ac:dyDescent="0.25"/>
    <row r="19" spans="1:9" outlineLevel="1" x14ac:dyDescent="0.25">
      <c r="B19" s="126">
        <v>2.2999999999999998</v>
      </c>
      <c r="C19" s="11" t="s">
        <v>302</v>
      </c>
    </row>
    <row r="20" spans="1:9" outlineLevel="1" x14ac:dyDescent="0.25">
      <c r="C20" s="108"/>
    </row>
    <row r="21" spans="1:9" outlineLevel="1" x14ac:dyDescent="0.25">
      <c r="C21" s="117" t="s">
        <v>332</v>
      </c>
      <c r="D21" s="155" t="s">
        <v>334</v>
      </c>
      <c r="E21" s="153"/>
      <c r="I21" s="10" t="s">
        <v>333</v>
      </c>
    </row>
    <row r="22" spans="1:9" outlineLevel="1" x14ac:dyDescent="0.25">
      <c r="C22" s="117" t="s">
        <v>335</v>
      </c>
      <c r="D22" s="155" t="s">
        <v>338</v>
      </c>
      <c r="E22" s="153"/>
    </row>
    <row r="23" spans="1:9" outlineLevel="1" x14ac:dyDescent="0.25">
      <c r="C23" s="117" t="s">
        <v>241</v>
      </c>
      <c r="D23" s="156">
        <v>45266</v>
      </c>
      <c r="E23" s="153"/>
    </row>
    <row r="24" spans="1:9" outlineLevel="1" x14ac:dyDescent="0.25">
      <c r="C24" s="117" t="s">
        <v>240</v>
      </c>
      <c r="D24" s="156">
        <f>EOMONTH(D23,D26*12)</f>
        <v>47118</v>
      </c>
      <c r="E24" s="153"/>
    </row>
    <row r="25" spans="1:9" outlineLevel="1" x14ac:dyDescent="0.25">
      <c r="C25" s="117" t="s">
        <v>239</v>
      </c>
      <c r="D25" s="157">
        <v>15000000</v>
      </c>
      <c r="E25" s="153"/>
    </row>
    <row r="26" spans="1:9" outlineLevel="1" x14ac:dyDescent="0.25">
      <c r="C26" s="117" t="s">
        <v>336</v>
      </c>
      <c r="D26" s="158">
        <v>5</v>
      </c>
      <c r="E26" s="153" t="s">
        <v>222</v>
      </c>
    </row>
    <row r="27" spans="1:9" outlineLevel="1" x14ac:dyDescent="0.25">
      <c r="C27" s="117" t="s">
        <v>337</v>
      </c>
      <c r="D27" s="159" t="s">
        <v>339</v>
      </c>
      <c r="E27" s="153"/>
    </row>
    <row r="28" spans="1:9" outlineLevel="1" x14ac:dyDescent="0.25">
      <c r="C28" s="117" t="s">
        <v>308</v>
      </c>
      <c r="D28" s="155">
        <v>7</v>
      </c>
      <c r="E28" s="153" t="s">
        <v>345</v>
      </c>
      <c r="G28" s="96"/>
    </row>
    <row r="29" spans="1:9" outlineLevel="1" x14ac:dyDescent="0.25">
      <c r="C29" s="117" t="s">
        <v>309</v>
      </c>
      <c r="D29" s="160">
        <v>0.01</v>
      </c>
      <c r="E29" s="154"/>
      <c r="G29" s="96"/>
    </row>
    <row r="30" spans="1:9" outlineLevel="1" x14ac:dyDescent="0.25">
      <c r="C30" s="117" t="s">
        <v>310</v>
      </c>
      <c r="D30" s="161">
        <f>1-D29</f>
        <v>0.99</v>
      </c>
      <c r="E30" s="153" t="s">
        <v>346</v>
      </c>
      <c r="G30" s="96"/>
    </row>
    <row r="31" spans="1:9" outlineLevel="1" x14ac:dyDescent="0.25"/>
    <row r="32" spans="1:9" s="165" customFormat="1" ht="21" x14ac:dyDescent="0.35">
      <c r="A32" s="162"/>
      <c r="B32" s="163">
        <v>3</v>
      </c>
      <c r="C32" s="164" t="s">
        <v>330</v>
      </c>
      <c r="D32" s="164"/>
      <c r="E32" s="164"/>
      <c r="F32" s="164"/>
    </row>
    <row r="34" spans="2:9" x14ac:dyDescent="0.25">
      <c r="B34" s="126">
        <v>3.1</v>
      </c>
      <c r="C34" s="11" t="s">
        <v>238</v>
      </c>
    </row>
    <row r="35" spans="2:9" ht="16.5" outlineLevel="1" thickBot="1" x14ac:dyDescent="0.3"/>
    <row r="36" spans="2:9" outlineLevel="1" x14ac:dyDescent="0.25">
      <c r="C36" s="128" t="s">
        <v>228</v>
      </c>
      <c r="D36" s="129" t="s">
        <v>237</v>
      </c>
      <c r="E36" s="130" t="s">
        <v>37</v>
      </c>
    </row>
    <row r="37" spans="2:9" outlineLevel="1" x14ac:dyDescent="0.25">
      <c r="C37" s="131" t="s">
        <v>234</v>
      </c>
      <c r="D37" s="5">
        <v>800000</v>
      </c>
      <c r="E37" s="170" t="s">
        <v>352</v>
      </c>
    </row>
    <row r="38" spans="2:9" outlineLevel="1" x14ac:dyDescent="0.25">
      <c r="C38" s="131" t="s">
        <v>570</v>
      </c>
      <c r="D38" s="5">
        <f>220000/12</f>
        <v>18333.333333333332</v>
      </c>
      <c r="E38" s="170" t="s">
        <v>353</v>
      </c>
    </row>
    <row r="39" spans="2:9" outlineLevel="1" x14ac:dyDescent="0.25">
      <c r="C39" s="131" t="s">
        <v>347</v>
      </c>
      <c r="D39" s="169">
        <v>45306</v>
      </c>
      <c r="E39" s="170" t="s">
        <v>354</v>
      </c>
    </row>
    <row r="40" spans="2:9" outlineLevel="1" x14ac:dyDescent="0.25">
      <c r="C40" s="131" t="s">
        <v>348</v>
      </c>
      <c r="D40" s="8">
        <f>+D24</f>
        <v>47118</v>
      </c>
      <c r="E40" s="170" t="s">
        <v>355</v>
      </c>
    </row>
    <row r="41" spans="2:9" outlineLevel="1" x14ac:dyDescent="0.25">
      <c r="C41" s="131" t="s">
        <v>235</v>
      </c>
      <c r="D41" s="9" t="s">
        <v>356</v>
      </c>
      <c r="E41" s="170" t="s">
        <v>357</v>
      </c>
    </row>
    <row r="42" spans="2:9" outlineLevel="1" x14ac:dyDescent="0.25">
      <c r="C42" s="131" t="s">
        <v>349</v>
      </c>
      <c r="D42" s="5">
        <f>+D38*5*12</f>
        <v>1100000</v>
      </c>
      <c r="E42" s="170" t="s">
        <v>358</v>
      </c>
    </row>
    <row r="43" spans="2:9" outlineLevel="1" x14ac:dyDescent="0.25">
      <c r="C43" s="131" t="s">
        <v>214</v>
      </c>
      <c r="D43" s="176">
        <f>+Data!B11</f>
        <v>0.35580078959465045</v>
      </c>
      <c r="E43" s="170" t="s">
        <v>359</v>
      </c>
    </row>
    <row r="44" spans="2:9" ht="16.5" outlineLevel="1" thickBot="1" x14ac:dyDescent="0.3">
      <c r="C44" s="135"/>
      <c r="D44" s="168"/>
      <c r="E44" s="137"/>
    </row>
    <row r="45" spans="2:9" outlineLevel="1" x14ac:dyDescent="0.25"/>
    <row r="46" spans="2:9" x14ac:dyDescent="0.25">
      <c r="B46" s="126">
        <v>3.2</v>
      </c>
      <c r="C46" s="11" t="s">
        <v>177</v>
      </c>
    </row>
    <row r="47" spans="2:9" ht="16.5" outlineLevel="1" thickBot="1" x14ac:dyDescent="0.3"/>
    <row r="48" spans="2:9" outlineLevel="1" x14ac:dyDescent="0.25">
      <c r="C48" s="128" t="s">
        <v>228</v>
      </c>
      <c r="D48" s="129" t="str">
        <f>+D36</f>
        <v>Key Figures</v>
      </c>
      <c r="E48" s="130" t="s">
        <v>37</v>
      </c>
      <c r="H48" s="55"/>
      <c r="I48" s="55"/>
    </row>
    <row r="49" spans="2:9" outlineLevel="1" x14ac:dyDescent="0.25">
      <c r="C49" s="131" t="s">
        <v>234</v>
      </c>
      <c r="D49" s="132">
        <v>4600000</v>
      </c>
      <c r="E49" s="133" t="s">
        <v>375</v>
      </c>
      <c r="H49" s="55"/>
      <c r="I49" s="55"/>
    </row>
    <row r="50" spans="2:9" outlineLevel="1" x14ac:dyDescent="0.25">
      <c r="C50" s="131" t="s">
        <v>231</v>
      </c>
      <c r="D50" s="132">
        <v>0</v>
      </c>
      <c r="E50" s="133" t="s">
        <v>360</v>
      </c>
      <c r="H50" s="44"/>
      <c r="I50" s="44"/>
    </row>
    <row r="51" spans="2:9" outlineLevel="1" x14ac:dyDescent="0.25">
      <c r="C51" s="131" t="s">
        <v>347</v>
      </c>
      <c r="D51" s="169">
        <v>45311</v>
      </c>
      <c r="E51" s="133" t="s">
        <v>376</v>
      </c>
      <c r="H51" s="44"/>
      <c r="I51" s="44"/>
    </row>
    <row r="52" spans="2:9" outlineLevel="1" x14ac:dyDescent="0.25">
      <c r="C52" s="131" t="s">
        <v>348</v>
      </c>
      <c r="D52" s="169">
        <v>45626</v>
      </c>
      <c r="E52" s="171" t="s">
        <v>361</v>
      </c>
    </row>
    <row r="53" spans="2:9" outlineLevel="1" x14ac:dyDescent="0.25">
      <c r="C53" s="131" t="s">
        <v>235</v>
      </c>
      <c r="D53" s="550"/>
      <c r="E53" s="134" t="s">
        <v>377</v>
      </c>
      <c r="I53" s="55"/>
    </row>
    <row r="54" spans="2:9" outlineLevel="1" x14ac:dyDescent="0.25">
      <c r="C54" s="131" t="s">
        <v>349</v>
      </c>
      <c r="D54" s="132">
        <f>+D49*2</f>
        <v>9200000</v>
      </c>
      <c r="E54" s="134" t="s">
        <v>378</v>
      </c>
      <c r="I54" s="63"/>
    </row>
    <row r="55" spans="2:9" outlineLevel="1" x14ac:dyDescent="0.25">
      <c r="C55" s="131" t="s">
        <v>214</v>
      </c>
      <c r="D55" s="177">
        <f>+Data!C11</f>
        <v>1.2984445929527286</v>
      </c>
      <c r="E55" s="134" t="s">
        <v>379</v>
      </c>
    </row>
    <row r="56" spans="2:9" ht="16.5" outlineLevel="1" thickBot="1" x14ac:dyDescent="0.3">
      <c r="C56" s="135" t="s">
        <v>212</v>
      </c>
      <c r="D56" s="136"/>
      <c r="E56" s="137" t="s">
        <v>380</v>
      </c>
    </row>
    <row r="57" spans="2:9" outlineLevel="1" x14ac:dyDescent="0.25"/>
    <row r="58" spans="2:9" x14ac:dyDescent="0.25">
      <c r="B58" s="126">
        <v>3.3</v>
      </c>
      <c r="C58" s="11" t="s">
        <v>236</v>
      </c>
    </row>
    <row r="59" spans="2:9" ht="16.5" outlineLevel="1" thickBot="1" x14ac:dyDescent="0.3"/>
    <row r="60" spans="2:9" outlineLevel="1" x14ac:dyDescent="0.25">
      <c r="C60" s="128" t="s">
        <v>228</v>
      </c>
      <c r="D60" s="129" t="str">
        <f>+D36</f>
        <v>Key Figures</v>
      </c>
      <c r="E60" s="130" t="s">
        <v>37</v>
      </c>
      <c r="H60" s="55"/>
    </row>
    <row r="61" spans="2:9" outlineLevel="1" x14ac:dyDescent="0.25">
      <c r="C61" s="131" t="s">
        <v>234</v>
      </c>
      <c r="D61" s="5">
        <v>6000000</v>
      </c>
      <c r="E61" s="133" t="s">
        <v>738</v>
      </c>
      <c r="H61" s="55"/>
    </row>
    <row r="62" spans="2:9" outlineLevel="1" x14ac:dyDescent="0.25">
      <c r="C62" s="131" t="s">
        <v>233</v>
      </c>
      <c r="D62" s="5">
        <v>4000000</v>
      </c>
      <c r="E62" s="133" t="s">
        <v>362</v>
      </c>
      <c r="H62" s="55"/>
    </row>
    <row r="63" spans="2:9" outlineLevel="1" x14ac:dyDescent="0.25">
      <c r="C63" s="131" t="s">
        <v>232</v>
      </c>
      <c r="D63" s="5">
        <v>2000000</v>
      </c>
      <c r="E63" s="133" t="s">
        <v>363</v>
      </c>
      <c r="H63" s="55"/>
    </row>
    <row r="64" spans="2:9" outlineLevel="1" x14ac:dyDescent="0.25">
      <c r="C64" s="131" t="s">
        <v>231</v>
      </c>
      <c r="D64" s="5">
        <f>100000/4</f>
        <v>25000</v>
      </c>
      <c r="E64" s="133" t="s">
        <v>364</v>
      </c>
      <c r="H64" s="63"/>
    </row>
    <row r="65" spans="2:8" outlineLevel="1" x14ac:dyDescent="0.25">
      <c r="C65" s="131" t="s">
        <v>225</v>
      </c>
      <c r="D65" s="6">
        <v>0.08</v>
      </c>
      <c r="E65" s="133" t="s">
        <v>365</v>
      </c>
    </row>
    <row r="66" spans="2:8" outlineLevel="1" x14ac:dyDescent="0.25">
      <c r="C66" s="131" t="s">
        <v>223</v>
      </c>
      <c r="D66" s="178">
        <v>3</v>
      </c>
      <c r="E66" s="133" t="s">
        <v>568</v>
      </c>
      <c r="H66" s="44"/>
    </row>
    <row r="67" spans="2:8" outlineLevel="1" x14ac:dyDescent="0.25">
      <c r="C67" s="131" t="s">
        <v>221</v>
      </c>
      <c r="D67" s="8">
        <v>45413</v>
      </c>
      <c r="E67" s="133" t="s">
        <v>366</v>
      </c>
      <c r="H67" s="44"/>
    </row>
    <row r="68" spans="2:8" outlineLevel="1" x14ac:dyDescent="0.25">
      <c r="C68" s="131" t="s">
        <v>220</v>
      </c>
      <c r="D68" s="8">
        <f>EOMONTH(D67,D66*12)</f>
        <v>46538</v>
      </c>
      <c r="E68" s="180" t="s">
        <v>367</v>
      </c>
    </row>
    <row r="69" spans="2:8" outlineLevel="1" x14ac:dyDescent="0.25">
      <c r="C69" s="131" t="s">
        <v>230</v>
      </c>
      <c r="D69" s="5" t="s">
        <v>0</v>
      </c>
      <c r="E69" s="133" t="s">
        <v>368</v>
      </c>
    </row>
    <row r="70" spans="2:8" outlineLevel="1" x14ac:dyDescent="0.25">
      <c r="C70" s="131" t="s">
        <v>215</v>
      </c>
      <c r="D70" s="5" t="s">
        <v>0</v>
      </c>
      <c r="E70" s="133" t="s">
        <v>369</v>
      </c>
    </row>
    <row r="71" spans="2:8" outlineLevel="1" x14ac:dyDescent="0.25">
      <c r="C71" s="131" t="s">
        <v>229</v>
      </c>
      <c r="D71" s="179"/>
      <c r="E71" s="134" t="s">
        <v>370</v>
      </c>
    </row>
    <row r="72" spans="2:8" outlineLevel="1" x14ac:dyDescent="0.25">
      <c r="C72" s="131" t="s">
        <v>214</v>
      </c>
      <c r="D72" s="4"/>
      <c r="E72" s="134" t="s">
        <v>371</v>
      </c>
      <c r="H72" s="55"/>
    </row>
    <row r="73" spans="2:8" ht="16.5" outlineLevel="1" thickBot="1" x14ac:dyDescent="0.3">
      <c r="C73" s="135" t="s">
        <v>374</v>
      </c>
      <c r="D73" s="181">
        <v>12000000</v>
      </c>
      <c r="E73" s="182" t="s">
        <v>467</v>
      </c>
    </row>
    <row r="74" spans="2:8" outlineLevel="1" x14ac:dyDescent="0.25"/>
    <row r="75" spans="2:8" x14ac:dyDescent="0.25">
      <c r="B75" s="126">
        <v>3.4</v>
      </c>
      <c r="C75" s="11" t="s">
        <v>569</v>
      </c>
    </row>
    <row r="76" spans="2:8" outlineLevel="1" x14ac:dyDescent="0.25">
      <c r="C76" s="44"/>
    </row>
    <row r="77" spans="2:8" outlineLevel="1" x14ac:dyDescent="0.25">
      <c r="C77" s="123" t="s">
        <v>228</v>
      </c>
      <c r="D77" s="123" t="str">
        <f>+D36</f>
        <v>Key Figures</v>
      </c>
      <c r="E77" s="556" t="s">
        <v>37</v>
      </c>
      <c r="F77" s="556"/>
    </row>
    <row r="78" spans="2:8" outlineLevel="1" x14ac:dyDescent="0.25">
      <c r="C78" s="106" t="s">
        <v>227</v>
      </c>
      <c r="D78" s="5"/>
      <c r="E78" s="559" t="s">
        <v>569</v>
      </c>
      <c r="F78" s="559"/>
    </row>
    <row r="79" spans="2:8" outlineLevel="1" x14ac:dyDescent="0.25">
      <c r="C79" s="106" t="s">
        <v>226</v>
      </c>
      <c r="D79" s="5">
        <v>3000000</v>
      </c>
      <c r="E79" s="559" t="str">
        <f>"Loan to "&amp;C75&amp;" for "&amp;TEXT(D79/1000000,"$#,##0""M""")&amp;"@"&amp;TEXT(D80,"0.0%")&amp;" Mat. "&amp;D81&amp;" Years"</f>
        <v>Loan to Apartment Complex Loan for $3M@15.0% Mat. 5 Years</v>
      </c>
      <c r="F79" s="559"/>
      <c r="G79" s="55"/>
    </row>
    <row r="80" spans="2:8" outlineLevel="1" x14ac:dyDescent="0.25">
      <c r="C80" s="106" t="s">
        <v>225</v>
      </c>
      <c r="D80" s="6">
        <v>0.15</v>
      </c>
      <c r="E80" s="557" t="s">
        <v>224</v>
      </c>
      <c r="F80" s="558"/>
    </row>
    <row r="81" spans="1:7" outlineLevel="1" x14ac:dyDescent="0.25">
      <c r="C81" s="106" t="s">
        <v>223</v>
      </c>
      <c r="D81" s="7">
        <v>5</v>
      </c>
      <c r="E81" s="557" t="s">
        <v>222</v>
      </c>
      <c r="F81" s="558"/>
      <c r="G81" s="44"/>
    </row>
    <row r="82" spans="1:7" outlineLevel="1" x14ac:dyDescent="0.25">
      <c r="C82" s="106" t="s">
        <v>221</v>
      </c>
      <c r="D82" s="8">
        <v>45413</v>
      </c>
      <c r="E82" s="560"/>
      <c r="F82" s="560"/>
      <c r="G82" s="44"/>
    </row>
    <row r="83" spans="1:7" outlineLevel="1" x14ac:dyDescent="0.25">
      <c r="C83" s="106" t="s">
        <v>220</v>
      </c>
      <c r="D83" s="191">
        <v>45657</v>
      </c>
      <c r="E83" s="561"/>
      <c r="F83" s="561"/>
      <c r="G83" s="44"/>
    </row>
    <row r="84" spans="1:7" outlineLevel="1" x14ac:dyDescent="0.25">
      <c r="C84" s="106" t="s">
        <v>219</v>
      </c>
      <c r="D84" s="5"/>
      <c r="E84" s="554" t="s">
        <v>218</v>
      </c>
      <c r="F84" s="554"/>
    </row>
    <row r="85" spans="1:7" outlineLevel="1" x14ac:dyDescent="0.25">
      <c r="C85" s="106" t="s">
        <v>217</v>
      </c>
      <c r="D85" s="9" t="s">
        <v>216</v>
      </c>
      <c r="E85" s="554" t="s">
        <v>216</v>
      </c>
      <c r="F85" s="554"/>
    </row>
    <row r="86" spans="1:7" outlineLevel="1" x14ac:dyDescent="0.25">
      <c r="C86" s="106" t="s">
        <v>215</v>
      </c>
      <c r="D86" s="5"/>
      <c r="E86" s="554" t="s">
        <v>373</v>
      </c>
      <c r="F86" s="554"/>
    </row>
    <row r="87" spans="1:7" outlineLevel="1" x14ac:dyDescent="0.25">
      <c r="C87" s="106" t="s">
        <v>214</v>
      </c>
      <c r="D87" s="9"/>
      <c r="E87" s="554" t="s">
        <v>213</v>
      </c>
      <c r="F87" s="554"/>
    </row>
    <row r="88" spans="1:7" outlineLevel="1" x14ac:dyDescent="0.25">
      <c r="C88" s="106" t="s">
        <v>212</v>
      </c>
      <c r="D88" s="9"/>
      <c r="E88" s="554" t="s">
        <v>372</v>
      </c>
      <c r="F88" s="554"/>
    </row>
    <row r="89" spans="1:7" x14ac:dyDescent="0.25">
      <c r="C89" s="11"/>
    </row>
    <row r="90" spans="1:7" s="165" customFormat="1" ht="21" x14ac:dyDescent="0.35">
      <c r="A90" s="162"/>
      <c r="B90" s="163">
        <v>4</v>
      </c>
      <c r="C90" s="164" t="s">
        <v>328</v>
      </c>
      <c r="D90" s="164"/>
      <c r="E90" s="164"/>
      <c r="F90" s="164"/>
    </row>
    <row r="91" spans="1:7" ht="16.5" thickBot="1" x14ac:dyDescent="0.3"/>
    <row r="92" spans="1:7" x14ac:dyDescent="0.25">
      <c r="C92" s="128" t="s">
        <v>211</v>
      </c>
      <c r="D92" s="129" t="s">
        <v>210</v>
      </c>
      <c r="E92" s="129" t="s">
        <v>209</v>
      </c>
      <c r="F92" s="130" t="s">
        <v>203</v>
      </c>
    </row>
    <row r="93" spans="1:7" x14ac:dyDescent="0.25">
      <c r="C93" s="131" t="s">
        <v>174</v>
      </c>
      <c r="D93" s="132">
        <v>1000000</v>
      </c>
      <c r="E93" s="138" t="s">
        <v>208</v>
      </c>
      <c r="F93" s="185">
        <f>+D39</f>
        <v>45306</v>
      </c>
    </row>
    <row r="94" spans="1:7" x14ac:dyDescent="0.25">
      <c r="C94" s="131" t="s">
        <v>173</v>
      </c>
      <c r="D94" s="132">
        <f>+D49</f>
        <v>4600000</v>
      </c>
      <c r="E94" s="138" t="s">
        <v>207</v>
      </c>
      <c r="F94" s="185">
        <f>+D51</f>
        <v>45311</v>
      </c>
    </row>
    <row r="95" spans="1:7" ht="16.5" thickBot="1" x14ac:dyDescent="0.3">
      <c r="C95" s="135" t="s">
        <v>176</v>
      </c>
      <c r="D95" s="140">
        <f>+D25-D94-D93</f>
        <v>9400000</v>
      </c>
      <c r="E95" s="186" t="s">
        <v>206</v>
      </c>
      <c r="F95" s="187">
        <f>+D67</f>
        <v>45413</v>
      </c>
    </row>
    <row r="96" spans="1:7" x14ac:dyDescent="0.25">
      <c r="E96" s="44"/>
    </row>
    <row r="97" spans="1:6" x14ac:dyDescent="0.25">
      <c r="C97" s="11" t="s">
        <v>41</v>
      </c>
      <c r="D97" s="189">
        <f>SUM(D93:D96)</f>
        <v>15000000</v>
      </c>
    </row>
    <row r="99" spans="1:6" s="165" customFormat="1" ht="21" x14ac:dyDescent="0.35">
      <c r="A99" s="162"/>
      <c r="B99" s="163">
        <v>5</v>
      </c>
      <c r="C99" s="164" t="s">
        <v>329</v>
      </c>
      <c r="D99" s="164"/>
      <c r="E99" s="164"/>
      <c r="F99" s="164"/>
    </row>
    <row r="100" spans="1:6" ht="16.5" thickBot="1" x14ac:dyDescent="0.3"/>
    <row r="101" spans="1:6" x14ac:dyDescent="0.25">
      <c r="C101" s="128" t="s">
        <v>201</v>
      </c>
      <c r="D101" s="129" t="s">
        <v>205</v>
      </c>
      <c r="E101" s="129" t="s">
        <v>204</v>
      </c>
      <c r="F101" s="130" t="s">
        <v>203</v>
      </c>
    </row>
    <row r="102" spans="1:6" s="11" customFormat="1" x14ac:dyDescent="0.25">
      <c r="A102" s="126"/>
      <c r="B102" s="126"/>
      <c r="C102" s="131" t="str">
        <f>+C46</f>
        <v>AI Tech</v>
      </c>
      <c r="D102" s="138">
        <f>+D54*0.8</f>
        <v>7360000</v>
      </c>
      <c r="E102" s="190">
        <f>+D102</f>
        <v>7360000</v>
      </c>
      <c r="F102" s="185">
        <f>+D52+7</f>
        <v>45633</v>
      </c>
    </row>
    <row r="103" spans="1:6" s="11" customFormat="1" x14ac:dyDescent="0.25">
      <c r="A103" s="126"/>
      <c r="B103" s="126"/>
      <c r="C103" s="131" t="str">
        <f>+C75</f>
        <v>Apartment Complex Loan</v>
      </c>
      <c r="D103" s="138">
        <f>VLOOKUP(F103,'Apartment Complex Loan'!$D$16:$I$52,6,0)</f>
        <v>2753833.0900729205</v>
      </c>
      <c r="E103" s="190">
        <f>+VLOOKUP(F103,'Apartment Complex Loan'!$D$16:$I$52,6,0)</f>
        <v>2753833.0900729205</v>
      </c>
      <c r="F103" s="185">
        <f>+D83</f>
        <v>45657</v>
      </c>
    </row>
    <row r="104" spans="1:6" s="11" customFormat="1" x14ac:dyDescent="0.25">
      <c r="A104" s="126"/>
      <c r="B104" s="126"/>
      <c r="C104" s="131"/>
      <c r="D104" s="138"/>
      <c r="E104" s="183"/>
      <c r="F104" s="185"/>
    </row>
    <row r="105" spans="1:6" s="11" customFormat="1" ht="16.5" thickBot="1" x14ac:dyDescent="0.3">
      <c r="A105" s="126"/>
      <c r="B105" s="126"/>
      <c r="C105" s="135"/>
      <c r="D105" s="139"/>
      <c r="E105" s="184"/>
      <c r="F105" s="187"/>
    </row>
    <row r="106" spans="1:6" x14ac:dyDescent="0.25">
      <c r="E106" s="44"/>
    </row>
    <row r="107" spans="1:6" s="11" customFormat="1" x14ac:dyDescent="0.25">
      <c r="A107" s="126"/>
      <c r="B107" s="126"/>
      <c r="C107" s="11" t="s">
        <v>41</v>
      </c>
      <c r="D107" s="189">
        <f>SUM(D102:D106)</f>
        <v>10113833.090072921</v>
      </c>
      <c r="E107" s="189">
        <f>SUM(E102:E106)</f>
        <v>10113833.090072921</v>
      </c>
      <c r="F107" s="397"/>
    </row>
    <row r="108" spans="1:6" s="11" customFormat="1" x14ac:dyDescent="0.25">
      <c r="A108" s="126"/>
      <c r="B108" s="126"/>
      <c r="C108" s="124"/>
      <c r="D108" s="141"/>
      <c r="E108" s="142"/>
    </row>
    <row r="109" spans="1:6" s="165" customFormat="1" ht="21" x14ac:dyDescent="0.35">
      <c r="A109" s="162"/>
      <c r="B109" s="163"/>
      <c r="C109" s="164" t="s">
        <v>202</v>
      </c>
      <c r="D109" s="164"/>
      <c r="E109" s="164"/>
      <c r="F109" s="164"/>
    </row>
    <row r="111" spans="1:6" x14ac:dyDescent="0.25">
      <c r="C111" s="143" t="s">
        <v>201</v>
      </c>
      <c r="D111" s="143" t="s">
        <v>200</v>
      </c>
      <c r="E111" s="143" t="s">
        <v>199</v>
      </c>
    </row>
    <row r="112" spans="1:6" x14ac:dyDescent="0.25">
      <c r="C112" s="144" t="s">
        <v>198</v>
      </c>
      <c r="D112" s="145">
        <f>+D37</f>
        <v>800000</v>
      </c>
      <c r="E112" s="146">
        <f>+D112/$D$116</f>
        <v>5.5555555555555552E-2</v>
      </c>
    </row>
    <row r="113" spans="1:6" x14ac:dyDescent="0.25">
      <c r="C113" s="144" t="s">
        <v>197</v>
      </c>
      <c r="D113" s="145">
        <f>+D49</f>
        <v>4600000</v>
      </c>
      <c r="E113" s="146">
        <f>+D113/$D$116</f>
        <v>0.31944444444444442</v>
      </c>
    </row>
    <row r="114" spans="1:6" x14ac:dyDescent="0.25">
      <c r="C114" s="144" t="s">
        <v>196</v>
      </c>
      <c r="D114" s="147">
        <f>+D61</f>
        <v>6000000</v>
      </c>
      <c r="E114" s="148">
        <f>+D114/$D$116</f>
        <v>0.41666666666666669</v>
      </c>
    </row>
    <row r="115" spans="1:6" x14ac:dyDescent="0.25">
      <c r="C115" s="144" t="s">
        <v>195</v>
      </c>
      <c r="D115" s="145">
        <f>+D79</f>
        <v>3000000</v>
      </c>
      <c r="E115" s="148">
        <f>+D115/$D$116</f>
        <v>0.20833333333333334</v>
      </c>
    </row>
    <row r="116" spans="1:6" x14ac:dyDescent="0.25">
      <c r="C116" s="144" t="s">
        <v>41</v>
      </c>
      <c r="D116" s="149">
        <f>SUM(D112:D115)</f>
        <v>14400000</v>
      </c>
      <c r="E116" s="150">
        <f>SUM(E112:E115)</f>
        <v>1</v>
      </c>
    </row>
    <row r="118" spans="1:6" x14ac:dyDescent="0.25">
      <c r="C118" s="11"/>
    </row>
    <row r="119" spans="1:6" s="11" customFormat="1" x14ac:dyDescent="0.25">
      <c r="A119" s="126"/>
      <c r="B119" s="126"/>
      <c r="C119" s="117"/>
      <c r="D119" s="151"/>
      <c r="E119" s="152"/>
    </row>
    <row r="120" spans="1:6" s="165" customFormat="1" ht="21" x14ac:dyDescent="0.35">
      <c r="A120" s="162"/>
      <c r="B120" s="163"/>
      <c r="C120" s="164" t="s">
        <v>194</v>
      </c>
      <c r="D120" s="164"/>
      <c r="E120" s="164"/>
      <c r="F120" s="164"/>
    </row>
    <row r="122" spans="1:6" x14ac:dyDescent="0.25">
      <c r="C122" s="11" t="s">
        <v>193</v>
      </c>
    </row>
    <row r="123" spans="1:6" x14ac:dyDescent="0.25">
      <c r="C123" s="108"/>
    </row>
    <row r="124" spans="1:6" x14ac:dyDescent="0.25">
      <c r="C124" s="117" t="s">
        <v>311</v>
      </c>
    </row>
    <row r="125" spans="1:6" x14ac:dyDescent="0.25">
      <c r="C125" s="117" t="s">
        <v>312</v>
      </c>
    </row>
    <row r="126" spans="1:6" x14ac:dyDescent="0.25">
      <c r="C126" s="117" t="s">
        <v>313</v>
      </c>
    </row>
    <row r="127" spans="1:6" x14ac:dyDescent="0.25">
      <c r="C127" s="117" t="s">
        <v>314</v>
      </c>
    </row>
    <row r="129" spans="1:6" x14ac:dyDescent="0.25">
      <c r="C129" s="11" t="s">
        <v>192</v>
      </c>
    </row>
    <row r="130" spans="1:6" x14ac:dyDescent="0.25">
      <c r="C130" s="108"/>
    </row>
    <row r="131" spans="1:6" x14ac:dyDescent="0.25">
      <c r="C131" s="117" t="s">
        <v>315</v>
      </c>
    </row>
    <row r="132" spans="1:6" x14ac:dyDescent="0.25">
      <c r="C132" s="117" t="s">
        <v>316</v>
      </c>
    </row>
    <row r="134" spans="1:6" x14ac:dyDescent="0.25">
      <c r="C134" s="11" t="s">
        <v>191</v>
      </c>
    </row>
    <row r="135" spans="1:6" x14ac:dyDescent="0.25">
      <c r="C135" s="108"/>
    </row>
    <row r="136" spans="1:6" x14ac:dyDescent="0.25">
      <c r="C136" s="117" t="s">
        <v>317</v>
      </c>
    </row>
    <row r="137" spans="1:6" x14ac:dyDescent="0.25">
      <c r="C137" s="117" t="s">
        <v>318</v>
      </c>
    </row>
    <row r="139" spans="1:6" x14ac:dyDescent="0.25">
      <c r="C139" s="11" t="s">
        <v>190</v>
      </c>
    </row>
    <row r="140" spans="1:6" x14ac:dyDescent="0.25">
      <c r="C140" s="108"/>
    </row>
    <row r="141" spans="1:6" x14ac:dyDescent="0.25">
      <c r="C141" s="117" t="s">
        <v>319</v>
      </c>
    </row>
    <row r="142" spans="1:6" x14ac:dyDescent="0.25">
      <c r="C142" s="117" t="s">
        <v>320</v>
      </c>
    </row>
    <row r="143" spans="1:6" x14ac:dyDescent="0.25">
      <c r="C143" s="108"/>
    </row>
    <row r="144" spans="1:6" s="165" customFormat="1" ht="21" x14ac:dyDescent="0.35">
      <c r="A144" s="162"/>
      <c r="B144" s="163"/>
      <c r="C144" s="164" t="s">
        <v>189</v>
      </c>
      <c r="D144" s="164"/>
      <c r="E144" s="164"/>
      <c r="F144" s="164"/>
    </row>
    <row r="145" spans="1:6" x14ac:dyDescent="0.25">
      <c r="C145" s="108"/>
    </row>
    <row r="146" spans="1:6" x14ac:dyDescent="0.25">
      <c r="C146" s="117" t="s">
        <v>321</v>
      </c>
    </row>
    <row r="147" spans="1:6" x14ac:dyDescent="0.25">
      <c r="C147" s="117" t="s">
        <v>322</v>
      </c>
    </row>
    <row r="148" spans="1:6" x14ac:dyDescent="0.25">
      <c r="C148" s="117" t="s">
        <v>323</v>
      </c>
    </row>
    <row r="149" spans="1:6" x14ac:dyDescent="0.25">
      <c r="C149" s="117" t="s">
        <v>324</v>
      </c>
    </row>
    <row r="150" spans="1:6" x14ac:dyDescent="0.25">
      <c r="C150" s="108"/>
    </row>
    <row r="151" spans="1:6" s="165" customFormat="1" ht="21" x14ac:dyDescent="0.35">
      <c r="A151" s="162"/>
      <c r="B151" s="163"/>
      <c r="C151" s="164" t="s">
        <v>188</v>
      </c>
      <c r="D151" s="164"/>
      <c r="E151" s="164"/>
      <c r="F151" s="164"/>
    </row>
    <row r="153" spans="1:6" x14ac:dyDescent="0.25">
      <c r="C153" s="553" t="s">
        <v>187</v>
      </c>
      <c r="D153" s="553"/>
      <c r="E153" s="553"/>
      <c r="F153" s="553"/>
    </row>
    <row r="154" spans="1:6" x14ac:dyDescent="0.25">
      <c r="C154" s="107"/>
      <c r="D154" s="107"/>
      <c r="E154" s="107"/>
      <c r="F154" s="107"/>
    </row>
    <row r="155" spans="1:6" s="165" customFormat="1" ht="21" x14ac:dyDescent="0.35">
      <c r="A155" s="162"/>
      <c r="B155" s="162"/>
      <c r="C155" s="167" t="s">
        <v>186</v>
      </c>
    </row>
    <row r="156" spans="1:6" x14ac:dyDescent="0.25">
      <c r="C156" s="10" t="s">
        <v>185</v>
      </c>
    </row>
    <row r="157" spans="1:6" x14ac:dyDescent="0.25">
      <c r="C157" s="108"/>
    </row>
    <row r="158" spans="1:6" x14ac:dyDescent="0.25">
      <c r="C158" s="108" t="s">
        <v>184</v>
      </c>
    </row>
    <row r="159" spans="1:6" x14ac:dyDescent="0.25">
      <c r="C159" s="108" t="s">
        <v>183</v>
      </c>
    </row>
    <row r="160" spans="1:6" x14ac:dyDescent="0.25">
      <c r="C160" s="108" t="s">
        <v>182</v>
      </c>
    </row>
    <row r="161" spans="3:3" x14ac:dyDescent="0.25">
      <c r="C161" s="108" t="s">
        <v>181</v>
      </c>
    </row>
    <row r="162" spans="3:3" x14ac:dyDescent="0.25">
      <c r="C162" s="108" t="s">
        <v>180</v>
      </c>
    </row>
    <row r="163" spans="3:3" x14ac:dyDescent="0.25">
      <c r="C163" s="108" t="s">
        <v>179</v>
      </c>
    </row>
    <row r="164" spans="3:3" x14ac:dyDescent="0.25">
      <c r="C164" s="108" t="s">
        <v>178</v>
      </c>
    </row>
  </sheetData>
  <mergeCells count="15">
    <mergeCell ref="C1:F2"/>
    <mergeCell ref="E77:F77"/>
    <mergeCell ref="E81:F81"/>
    <mergeCell ref="C5:F5"/>
    <mergeCell ref="E84:F84"/>
    <mergeCell ref="E79:F79"/>
    <mergeCell ref="E82:F82"/>
    <mergeCell ref="E83:F83"/>
    <mergeCell ref="E78:F78"/>
    <mergeCell ref="E80:F80"/>
    <mergeCell ref="C153:F153"/>
    <mergeCell ref="E86:F86"/>
    <mergeCell ref="E87:F87"/>
    <mergeCell ref="E85:F85"/>
    <mergeCell ref="E88:F88"/>
  </mergeCells>
  <pageMargins left="0.7" right="0.7" top="0.75" bottom="0.75" header="0.3" footer="0.3"/>
  <pageSetup paperSize="9" scale="3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FD0A-6476-4666-AD4D-9FEA3EFE672A}">
  <sheetPr>
    <tabColor theme="8" tint="0.79998168889431442"/>
  </sheetPr>
  <dimension ref="A2:BQ92"/>
  <sheetViews>
    <sheetView showGridLines="0" zoomScaleNormal="100" workbookViewId="0">
      <pane xSplit="8" ySplit="5" topLeftCell="I10" activePane="bottomRight" state="frozen"/>
      <selection sqref="A1:XFD1048576"/>
      <selection pane="topRight" sqref="A1:XFD1048576"/>
      <selection pane="bottomLeft" sqref="A1:XFD1048576"/>
      <selection pane="bottomRight" activeCell="B4" sqref="B4"/>
    </sheetView>
  </sheetViews>
  <sheetFormatPr defaultRowHeight="15.75" outlineLevelRow="1" outlineLevelCol="2" x14ac:dyDescent="0.25"/>
  <cols>
    <col min="1" max="1" width="3" style="104" bestFit="1" customWidth="1"/>
    <col min="2" max="2" width="32.42578125" style="104" customWidth="1"/>
    <col min="3" max="3" width="14.42578125" style="104" customWidth="1"/>
    <col min="4" max="4" width="15.140625" style="104" customWidth="1"/>
    <col min="5" max="5" width="39.7109375" style="104" customWidth="1"/>
    <col min="6" max="6" width="84.7109375" style="104" hidden="1" customWidth="1" outlineLevel="1"/>
    <col min="7" max="7" width="13.28515625" style="104" customWidth="1" collapsed="1"/>
    <col min="8" max="8" width="14.28515625" style="104" customWidth="1"/>
    <col min="9" max="9" width="14.28515625" style="243" customWidth="1"/>
    <col min="10" max="12" width="15" style="104" customWidth="1"/>
    <col min="13" max="15" width="15" style="104" customWidth="1" outlineLevel="1"/>
    <col min="16" max="19" width="15" style="104" customWidth="1" outlineLevel="2"/>
    <col min="20" max="23" width="15" style="104" customWidth="1"/>
    <col min="24" max="31" width="15" style="104" customWidth="1" outlineLevel="1"/>
    <col min="32" max="32" width="15" style="104" customWidth="1"/>
    <col min="33" max="56" width="15" style="104" customWidth="1" outlineLevel="1"/>
    <col min="57" max="57" width="15" style="104" customWidth="1"/>
    <col min="58" max="68" width="15" style="104" customWidth="1" outlineLevel="1"/>
    <col min="69" max="69" width="15" style="104" customWidth="1"/>
    <col min="70" max="16384" width="9.140625" style="104"/>
  </cols>
  <sheetData>
    <row r="2" spans="1:69" x14ac:dyDescent="0.25">
      <c r="J2" s="10"/>
      <c r="K2" s="10"/>
      <c r="L2" s="10"/>
      <c r="M2" s="10"/>
    </row>
    <row r="3" spans="1:69" x14ac:dyDescent="0.25">
      <c r="B3" s="126"/>
      <c r="I3" s="243" t="s">
        <v>266</v>
      </c>
      <c r="J3" s="10"/>
      <c r="K3" s="10"/>
      <c r="L3" s="10"/>
      <c r="M3" s="10"/>
    </row>
    <row r="4" spans="1:69" s="193" customFormat="1" ht="16.5" thickBot="1" x14ac:dyDescent="0.3">
      <c r="B4" s="194" t="s">
        <v>265</v>
      </c>
      <c r="C4" s="194"/>
      <c r="D4" s="194"/>
      <c r="E4" s="194"/>
      <c r="F4" s="194"/>
      <c r="G4" s="194"/>
      <c r="H4" s="194"/>
      <c r="I4" s="244">
        <f>+'Business Plan'!D23</f>
        <v>45266</v>
      </c>
      <c r="J4" s="195">
        <f t="shared" ref="J4:AO4" si="0">MONTH(J5)</f>
        <v>1</v>
      </c>
      <c r="K4" s="195">
        <f t="shared" si="0"/>
        <v>2</v>
      </c>
      <c r="L4" s="195">
        <f t="shared" si="0"/>
        <v>3</v>
      </c>
      <c r="M4" s="195">
        <f t="shared" si="0"/>
        <v>4</v>
      </c>
      <c r="N4" s="195">
        <f t="shared" si="0"/>
        <v>5</v>
      </c>
      <c r="O4" s="195">
        <f t="shared" si="0"/>
        <v>6</v>
      </c>
      <c r="P4" s="195">
        <f t="shared" si="0"/>
        <v>7</v>
      </c>
      <c r="Q4" s="195">
        <f t="shared" si="0"/>
        <v>8</v>
      </c>
      <c r="R4" s="195">
        <f t="shared" si="0"/>
        <v>9</v>
      </c>
      <c r="S4" s="195">
        <f t="shared" si="0"/>
        <v>10</v>
      </c>
      <c r="T4" s="195">
        <f t="shared" si="0"/>
        <v>11</v>
      </c>
      <c r="U4" s="195">
        <f t="shared" si="0"/>
        <v>12</v>
      </c>
      <c r="V4" s="195">
        <f t="shared" si="0"/>
        <v>1</v>
      </c>
      <c r="W4" s="195">
        <f t="shared" si="0"/>
        <v>2</v>
      </c>
      <c r="X4" s="195">
        <f t="shared" si="0"/>
        <v>3</v>
      </c>
      <c r="Y4" s="195">
        <f t="shared" si="0"/>
        <v>4</v>
      </c>
      <c r="Z4" s="195">
        <f t="shared" si="0"/>
        <v>5</v>
      </c>
      <c r="AA4" s="195">
        <f t="shared" si="0"/>
        <v>6</v>
      </c>
      <c r="AB4" s="195">
        <f t="shared" si="0"/>
        <v>7</v>
      </c>
      <c r="AC4" s="195">
        <f t="shared" si="0"/>
        <v>8</v>
      </c>
      <c r="AD4" s="195">
        <f t="shared" si="0"/>
        <v>9</v>
      </c>
      <c r="AE4" s="195">
        <f t="shared" si="0"/>
        <v>10</v>
      </c>
      <c r="AF4" s="195">
        <f t="shared" si="0"/>
        <v>11</v>
      </c>
      <c r="AG4" s="195">
        <f t="shared" si="0"/>
        <v>12</v>
      </c>
      <c r="AH4" s="195">
        <f t="shared" si="0"/>
        <v>1</v>
      </c>
      <c r="AI4" s="195">
        <f t="shared" si="0"/>
        <v>2</v>
      </c>
      <c r="AJ4" s="195">
        <f t="shared" si="0"/>
        <v>3</v>
      </c>
      <c r="AK4" s="195">
        <f t="shared" si="0"/>
        <v>4</v>
      </c>
      <c r="AL4" s="195">
        <f t="shared" si="0"/>
        <v>5</v>
      </c>
      <c r="AM4" s="195">
        <f t="shared" si="0"/>
        <v>6</v>
      </c>
      <c r="AN4" s="195">
        <f t="shared" si="0"/>
        <v>7</v>
      </c>
      <c r="AO4" s="195">
        <f t="shared" si="0"/>
        <v>8</v>
      </c>
      <c r="AP4" s="195">
        <f t="shared" ref="AP4:BQ4" si="1">MONTH(AP5)</f>
        <v>9</v>
      </c>
      <c r="AQ4" s="195">
        <f t="shared" si="1"/>
        <v>10</v>
      </c>
      <c r="AR4" s="195">
        <f t="shared" si="1"/>
        <v>11</v>
      </c>
      <c r="AS4" s="195">
        <f t="shared" si="1"/>
        <v>12</v>
      </c>
      <c r="AT4" s="195">
        <f t="shared" si="1"/>
        <v>1</v>
      </c>
      <c r="AU4" s="195">
        <f t="shared" si="1"/>
        <v>2</v>
      </c>
      <c r="AV4" s="195">
        <f t="shared" si="1"/>
        <v>3</v>
      </c>
      <c r="AW4" s="195">
        <f t="shared" si="1"/>
        <v>4</v>
      </c>
      <c r="AX4" s="195">
        <f t="shared" si="1"/>
        <v>5</v>
      </c>
      <c r="AY4" s="195">
        <f t="shared" si="1"/>
        <v>6</v>
      </c>
      <c r="AZ4" s="195">
        <f t="shared" si="1"/>
        <v>7</v>
      </c>
      <c r="BA4" s="195">
        <f t="shared" si="1"/>
        <v>8</v>
      </c>
      <c r="BB4" s="195">
        <f t="shared" si="1"/>
        <v>9</v>
      </c>
      <c r="BC4" s="195">
        <f t="shared" si="1"/>
        <v>10</v>
      </c>
      <c r="BD4" s="195">
        <f t="shared" si="1"/>
        <v>11</v>
      </c>
      <c r="BE4" s="195">
        <f t="shared" si="1"/>
        <v>12</v>
      </c>
      <c r="BF4" s="195">
        <f t="shared" si="1"/>
        <v>1</v>
      </c>
      <c r="BG4" s="195">
        <f t="shared" si="1"/>
        <v>2</v>
      </c>
      <c r="BH4" s="195">
        <f t="shared" si="1"/>
        <v>3</v>
      </c>
      <c r="BI4" s="195">
        <f t="shared" si="1"/>
        <v>4</v>
      </c>
      <c r="BJ4" s="195">
        <f t="shared" si="1"/>
        <v>5</v>
      </c>
      <c r="BK4" s="195">
        <f t="shared" si="1"/>
        <v>6</v>
      </c>
      <c r="BL4" s="195">
        <f t="shared" si="1"/>
        <v>7</v>
      </c>
      <c r="BM4" s="195">
        <f t="shared" si="1"/>
        <v>8</v>
      </c>
      <c r="BN4" s="195">
        <f t="shared" si="1"/>
        <v>9</v>
      </c>
      <c r="BO4" s="195">
        <f t="shared" si="1"/>
        <v>10</v>
      </c>
      <c r="BP4" s="195">
        <f t="shared" si="1"/>
        <v>11</v>
      </c>
      <c r="BQ4" s="195">
        <f t="shared" si="1"/>
        <v>12</v>
      </c>
    </row>
    <row r="5" spans="1:69" s="126" customFormat="1" ht="32.25" thickBot="1" x14ac:dyDescent="0.3">
      <c r="B5" s="212" t="s">
        <v>264</v>
      </c>
      <c r="C5" s="213" t="s">
        <v>263</v>
      </c>
      <c r="D5" s="242" t="s">
        <v>212</v>
      </c>
      <c r="E5" s="275" t="s">
        <v>38</v>
      </c>
      <c r="F5" s="273" t="s">
        <v>37</v>
      </c>
      <c r="G5" s="213" t="s">
        <v>76</v>
      </c>
      <c r="H5" s="214"/>
      <c r="I5" s="245">
        <f>+'Business Plan'!D23</f>
        <v>45266</v>
      </c>
      <c r="J5" s="262">
        <f t="shared" ref="J5:AO5" si="2">EOMONTH(I5,1)</f>
        <v>45322</v>
      </c>
      <c r="K5" s="263">
        <f t="shared" si="2"/>
        <v>45351</v>
      </c>
      <c r="L5" s="263">
        <f t="shared" si="2"/>
        <v>45382</v>
      </c>
      <c r="M5" s="263">
        <f t="shared" si="2"/>
        <v>45412</v>
      </c>
      <c r="N5" s="263">
        <f t="shared" si="2"/>
        <v>45443</v>
      </c>
      <c r="O5" s="263">
        <f t="shared" si="2"/>
        <v>45473</v>
      </c>
      <c r="P5" s="263">
        <f t="shared" si="2"/>
        <v>45504</v>
      </c>
      <c r="Q5" s="263">
        <f t="shared" si="2"/>
        <v>45535</v>
      </c>
      <c r="R5" s="263">
        <f t="shared" si="2"/>
        <v>45565</v>
      </c>
      <c r="S5" s="263">
        <f t="shared" si="2"/>
        <v>45596</v>
      </c>
      <c r="T5" s="263">
        <f t="shared" si="2"/>
        <v>45626</v>
      </c>
      <c r="U5" s="263">
        <f t="shared" si="2"/>
        <v>45657</v>
      </c>
      <c r="V5" s="263">
        <f t="shared" si="2"/>
        <v>45688</v>
      </c>
      <c r="W5" s="263">
        <f t="shared" si="2"/>
        <v>45716</v>
      </c>
      <c r="X5" s="263">
        <f t="shared" si="2"/>
        <v>45747</v>
      </c>
      <c r="Y5" s="263">
        <f t="shared" si="2"/>
        <v>45777</v>
      </c>
      <c r="Z5" s="263">
        <f t="shared" si="2"/>
        <v>45808</v>
      </c>
      <c r="AA5" s="263">
        <f t="shared" si="2"/>
        <v>45838</v>
      </c>
      <c r="AB5" s="263">
        <f t="shared" si="2"/>
        <v>45869</v>
      </c>
      <c r="AC5" s="263">
        <f t="shared" si="2"/>
        <v>45900</v>
      </c>
      <c r="AD5" s="263">
        <f t="shared" si="2"/>
        <v>45930</v>
      </c>
      <c r="AE5" s="263">
        <f t="shared" si="2"/>
        <v>45961</v>
      </c>
      <c r="AF5" s="263">
        <f t="shared" si="2"/>
        <v>45991</v>
      </c>
      <c r="AG5" s="263">
        <f t="shared" si="2"/>
        <v>46022</v>
      </c>
      <c r="AH5" s="263">
        <f t="shared" si="2"/>
        <v>46053</v>
      </c>
      <c r="AI5" s="263">
        <f t="shared" si="2"/>
        <v>46081</v>
      </c>
      <c r="AJ5" s="263">
        <f t="shared" si="2"/>
        <v>46112</v>
      </c>
      <c r="AK5" s="263">
        <f t="shared" si="2"/>
        <v>46142</v>
      </c>
      <c r="AL5" s="263">
        <f t="shared" si="2"/>
        <v>46173</v>
      </c>
      <c r="AM5" s="263">
        <f t="shared" si="2"/>
        <v>46203</v>
      </c>
      <c r="AN5" s="263">
        <f t="shared" si="2"/>
        <v>46234</v>
      </c>
      <c r="AO5" s="263">
        <f t="shared" si="2"/>
        <v>46265</v>
      </c>
      <c r="AP5" s="263">
        <f t="shared" ref="AP5:BQ5" si="3">EOMONTH(AO5,1)</f>
        <v>46295</v>
      </c>
      <c r="AQ5" s="263">
        <f t="shared" si="3"/>
        <v>46326</v>
      </c>
      <c r="AR5" s="263">
        <f t="shared" si="3"/>
        <v>46356</v>
      </c>
      <c r="AS5" s="263">
        <f t="shared" si="3"/>
        <v>46387</v>
      </c>
      <c r="AT5" s="263">
        <f t="shared" si="3"/>
        <v>46418</v>
      </c>
      <c r="AU5" s="263">
        <f t="shared" si="3"/>
        <v>46446</v>
      </c>
      <c r="AV5" s="263">
        <f t="shared" si="3"/>
        <v>46477</v>
      </c>
      <c r="AW5" s="263">
        <f t="shared" si="3"/>
        <v>46507</v>
      </c>
      <c r="AX5" s="263">
        <f t="shared" si="3"/>
        <v>46538</v>
      </c>
      <c r="AY5" s="263">
        <f t="shared" si="3"/>
        <v>46568</v>
      </c>
      <c r="AZ5" s="263">
        <f t="shared" si="3"/>
        <v>46599</v>
      </c>
      <c r="BA5" s="263">
        <f t="shared" si="3"/>
        <v>46630</v>
      </c>
      <c r="BB5" s="263">
        <f t="shared" si="3"/>
        <v>46660</v>
      </c>
      <c r="BC5" s="263">
        <f t="shared" si="3"/>
        <v>46691</v>
      </c>
      <c r="BD5" s="263">
        <f t="shared" si="3"/>
        <v>46721</v>
      </c>
      <c r="BE5" s="263">
        <f t="shared" si="3"/>
        <v>46752</v>
      </c>
      <c r="BF5" s="263">
        <f t="shared" si="3"/>
        <v>46783</v>
      </c>
      <c r="BG5" s="263">
        <f t="shared" si="3"/>
        <v>46812</v>
      </c>
      <c r="BH5" s="263">
        <f t="shared" si="3"/>
        <v>46843</v>
      </c>
      <c r="BI5" s="263">
        <f t="shared" si="3"/>
        <v>46873</v>
      </c>
      <c r="BJ5" s="263">
        <f t="shared" si="3"/>
        <v>46904</v>
      </c>
      <c r="BK5" s="263">
        <f t="shared" si="3"/>
        <v>46934</v>
      </c>
      <c r="BL5" s="263">
        <f t="shared" si="3"/>
        <v>46965</v>
      </c>
      <c r="BM5" s="263">
        <f t="shared" si="3"/>
        <v>46996</v>
      </c>
      <c r="BN5" s="263">
        <f t="shared" si="3"/>
        <v>47026</v>
      </c>
      <c r="BO5" s="263">
        <f t="shared" si="3"/>
        <v>47057</v>
      </c>
      <c r="BP5" s="263">
        <f t="shared" si="3"/>
        <v>47087</v>
      </c>
      <c r="BQ5" s="264">
        <f t="shared" si="3"/>
        <v>47118</v>
      </c>
    </row>
    <row r="6" spans="1:69" outlineLevel="1" x14ac:dyDescent="0.25">
      <c r="B6" s="284" t="str">
        <f>+'Business Plan'!C93</f>
        <v>Capital Call 1</v>
      </c>
      <c r="C6" s="235">
        <f>+'Business Plan'!D93</f>
        <v>1000000</v>
      </c>
      <c r="D6" s="237">
        <f>+'Business Plan'!D31</f>
        <v>0</v>
      </c>
      <c r="E6" s="274"/>
      <c r="F6" s="198"/>
      <c r="G6" s="236">
        <f>+'Business Plan'!F93</f>
        <v>45306</v>
      </c>
      <c r="H6" s="286"/>
      <c r="I6" s="246">
        <f>SUM(J6:BQ6)</f>
        <v>1000000</v>
      </c>
      <c r="J6" s="265">
        <f t="shared" ref="J6:AO6" si="4">IF(AND($G6&lt;=J$5,$G6&gt;I$5),$D6+$C6,0)</f>
        <v>1000000</v>
      </c>
      <c r="K6" s="197">
        <f t="shared" si="4"/>
        <v>0</v>
      </c>
      <c r="L6" s="197">
        <f t="shared" si="4"/>
        <v>0</v>
      </c>
      <c r="M6" s="197">
        <f t="shared" si="4"/>
        <v>0</v>
      </c>
      <c r="N6" s="197">
        <f t="shared" si="4"/>
        <v>0</v>
      </c>
      <c r="O6" s="197">
        <f t="shared" si="4"/>
        <v>0</v>
      </c>
      <c r="P6" s="197">
        <f t="shared" si="4"/>
        <v>0</v>
      </c>
      <c r="Q6" s="197">
        <f t="shared" si="4"/>
        <v>0</v>
      </c>
      <c r="R6" s="197">
        <f t="shared" si="4"/>
        <v>0</v>
      </c>
      <c r="S6" s="197">
        <f t="shared" si="4"/>
        <v>0</v>
      </c>
      <c r="T6" s="197">
        <f t="shared" si="4"/>
        <v>0</v>
      </c>
      <c r="U6" s="197">
        <f t="shared" si="4"/>
        <v>0</v>
      </c>
      <c r="V6" s="197">
        <f t="shared" si="4"/>
        <v>0</v>
      </c>
      <c r="W6" s="197">
        <f t="shared" si="4"/>
        <v>0</v>
      </c>
      <c r="X6" s="197">
        <f t="shared" si="4"/>
        <v>0</v>
      </c>
      <c r="Y6" s="197">
        <f t="shared" si="4"/>
        <v>0</v>
      </c>
      <c r="Z6" s="197">
        <f t="shared" si="4"/>
        <v>0</v>
      </c>
      <c r="AA6" s="197">
        <f t="shared" si="4"/>
        <v>0</v>
      </c>
      <c r="AB6" s="197">
        <f t="shared" si="4"/>
        <v>0</v>
      </c>
      <c r="AC6" s="197">
        <f t="shared" si="4"/>
        <v>0</v>
      </c>
      <c r="AD6" s="197">
        <f t="shared" si="4"/>
        <v>0</v>
      </c>
      <c r="AE6" s="197">
        <f t="shared" si="4"/>
        <v>0</v>
      </c>
      <c r="AF6" s="197">
        <f t="shared" si="4"/>
        <v>0</v>
      </c>
      <c r="AG6" s="197">
        <f t="shared" si="4"/>
        <v>0</v>
      </c>
      <c r="AH6" s="197">
        <f t="shared" si="4"/>
        <v>0</v>
      </c>
      <c r="AI6" s="197">
        <f t="shared" si="4"/>
        <v>0</v>
      </c>
      <c r="AJ6" s="197">
        <f t="shared" si="4"/>
        <v>0</v>
      </c>
      <c r="AK6" s="197">
        <f t="shared" si="4"/>
        <v>0</v>
      </c>
      <c r="AL6" s="197">
        <f t="shared" si="4"/>
        <v>0</v>
      </c>
      <c r="AM6" s="197">
        <f t="shared" si="4"/>
        <v>0</v>
      </c>
      <c r="AN6" s="197">
        <f t="shared" si="4"/>
        <v>0</v>
      </c>
      <c r="AO6" s="197">
        <f t="shared" si="4"/>
        <v>0</v>
      </c>
      <c r="AP6" s="197">
        <f t="shared" ref="AP6:BQ6" si="5">IF(AND($G6&lt;=AP$5,$G6&gt;AO$5),$D6+$C6,0)</f>
        <v>0</v>
      </c>
      <c r="AQ6" s="197">
        <f t="shared" si="5"/>
        <v>0</v>
      </c>
      <c r="AR6" s="197">
        <f t="shared" si="5"/>
        <v>0</v>
      </c>
      <c r="AS6" s="197">
        <f t="shared" si="5"/>
        <v>0</v>
      </c>
      <c r="AT6" s="197">
        <f t="shared" si="5"/>
        <v>0</v>
      </c>
      <c r="AU6" s="197">
        <f t="shared" si="5"/>
        <v>0</v>
      </c>
      <c r="AV6" s="197">
        <f t="shared" si="5"/>
        <v>0</v>
      </c>
      <c r="AW6" s="197">
        <f t="shared" si="5"/>
        <v>0</v>
      </c>
      <c r="AX6" s="197">
        <f t="shared" si="5"/>
        <v>0</v>
      </c>
      <c r="AY6" s="197">
        <f t="shared" si="5"/>
        <v>0</v>
      </c>
      <c r="AZ6" s="197">
        <f t="shared" si="5"/>
        <v>0</v>
      </c>
      <c r="BA6" s="197">
        <f t="shared" si="5"/>
        <v>0</v>
      </c>
      <c r="BB6" s="197">
        <f t="shared" si="5"/>
        <v>0</v>
      </c>
      <c r="BC6" s="197">
        <f t="shared" si="5"/>
        <v>0</v>
      </c>
      <c r="BD6" s="197">
        <f t="shared" si="5"/>
        <v>0</v>
      </c>
      <c r="BE6" s="197">
        <f t="shared" si="5"/>
        <v>0</v>
      </c>
      <c r="BF6" s="197">
        <f t="shared" si="5"/>
        <v>0</v>
      </c>
      <c r="BG6" s="197">
        <f t="shared" si="5"/>
        <v>0</v>
      </c>
      <c r="BH6" s="197">
        <f t="shared" si="5"/>
        <v>0</v>
      </c>
      <c r="BI6" s="197">
        <f t="shared" si="5"/>
        <v>0</v>
      </c>
      <c r="BJ6" s="197">
        <f t="shared" si="5"/>
        <v>0</v>
      </c>
      <c r="BK6" s="197">
        <f t="shared" si="5"/>
        <v>0</v>
      </c>
      <c r="BL6" s="197">
        <f t="shared" si="5"/>
        <v>0</v>
      </c>
      <c r="BM6" s="197">
        <f t="shared" si="5"/>
        <v>0</v>
      </c>
      <c r="BN6" s="197">
        <f t="shared" si="5"/>
        <v>0</v>
      </c>
      <c r="BO6" s="197">
        <f t="shared" si="5"/>
        <v>0</v>
      </c>
      <c r="BP6" s="197">
        <f t="shared" si="5"/>
        <v>0</v>
      </c>
      <c r="BQ6" s="266">
        <f t="shared" si="5"/>
        <v>0</v>
      </c>
    </row>
    <row r="7" spans="1:69" outlineLevel="1" x14ac:dyDescent="0.25">
      <c r="B7" s="284" t="str">
        <f>+'Business Plan'!C94</f>
        <v>Capital Call 2</v>
      </c>
      <c r="C7" s="235">
        <f>+'Business Plan'!D94</f>
        <v>4600000</v>
      </c>
      <c r="D7" s="285"/>
      <c r="E7" s="200"/>
      <c r="F7" s="200"/>
      <c r="G7" s="236">
        <f>+'Business Plan'!F94</f>
        <v>45311</v>
      </c>
      <c r="H7" s="287"/>
      <c r="I7" s="246">
        <f>SUM(J7:BQ7)</f>
        <v>4600000</v>
      </c>
      <c r="J7" s="265">
        <f t="shared" ref="J7:AO7" si="6">IF(AND($G7&lt;=J$5,$G7&gt;I$5),$D7+$C7,0)</f>
        <v>4600000</v>
      </c>
      <c r="K7" s="197">
        <f t="shared" si="6"/>
        <v>0</v>
      </c>
      <c r="L7" s="197">
        <f t="shared" si="6"/>
        <v>0</v>
      </c>
      <c r="M7" s="197">
        <f t="shared" si="6"/>
        <v>0</v>
      </c>
      <c r="N7" s="197">
        <f t="shared" si="6"/>
        <v>0</v>
      </c>
      <c r="O7" s="197">
        <f t="shared" si="6"/>
        <v>0</v>
      </c>
      <c r="P7" s="197">
        <f t="shared" si="6"/>
        <v>0</v>
      </c>
      <c r="Q7" s="197">
        <f t="shared" si="6"/>
        <v>0</v>
      </c>
      <c r="R7" s="197">
        <f t="shared" si="6"/>
        <v>0</v>
      </c>
      <c r="S7" s="197">
        <f t="shared" si="6"/>
        <v>0</v>
      </c>
      <c r="T7" s="197">
        <f t="shared" si="6"/>
        <v>0</v>
      </c>
      <c r="U7" s="197">
        <f t="shared" si="6"/>
        <v>0</v>
      </c>
      <c r="V7" s="197">
        <f t="shared" si="6"/>
        <v>0</v>
      </c>
      <c r="W7" s="197">
        <f t="shared" si="6"/>
        <v>0</v>
      </c>
      <c r="X7" s="197">
        <f t="shared" si="6"/>
        <v>0</v>
      </c>
      <c r="Y7" s="197">
        <f t="shared" si="6"/>
        <v>0</v>
      </c>
      <c r="Z7" s="197">
        <f t="shared" si="6"/>
        <v>0</v>
      </c>
      <c r="AA7" s="197">
        <f t="shared" si="6"/>
        <v>0</v>
      </c>
      <c r="AB7" s="197">
        <f t="shared" si="6"/>
        <v>0</v>
      </c>
      <c r="AC7" s="197">
        <f t="shared" si="6"/>
        <v>0</v>
      </c>
      <c r="AD7" s="197">
        <f t="shared" si="6"/>
        <v>0</v>
      </c>
      <c r="AE7" s="197">
        <f t="shared" si="6"/>
        <v>0</v>
      </c>
      <c r="AF7" s="197">
        <f t="shared" si="6"/>
        <v>0</v>
      </c>
      <c r="AG7" s="197">
        <f t="shared" si="6"/>
        <v>0</v>
      </c>
      <c r="AH7" s="197">
        <f t="shared" si="6"/>
        <v>0</v>
      </c>
      <c r="AI7" s="197">
        <f t="shared" si="6"/>
        <v>0</v>
      </c>
      <c r="AJ7" s="197">
        <f t="shared" si="6"/>
        <v>0</v>
      </c>
      <c r="AK7" s="197">
        <f t="shared" si="6"/>
        <v>0</v>
      </c>
      <c r="AL7" s="197">
        <f t="shared" si="6"/>
        <v>0</v>
      </c>
      <c r="AM7" s="197">
        <f t="shared" si="6"/>
        <v>0</v>
      </c>
      <c r="AN7" s="197">
        <f t="shared" si="6"/>
        <v>0</v>
      </c>
      <c r="AO7" s="197">
        <f t="shared" si="6"/>
        <v>0</v>
      </c>
      <c r="AP7" s="197">
        <f t="shared" ref="AP7:BQ7" si="7">IF(AND($G7&lt;=AP$5,$G7&gt;AO$5),$D7+$C7,0)</f>
        <v>0</v>
      </c>
      <c r="AQ7" s="197">
        <f t="shared" si="7"/>
        <v>0</v>
      </c>
      <c r="AR7" s="197">
        <f t="shared" si="7"/>
        <v>0</v>
      </c>
      <c r="AS7" s="197">
        <f t="shared" si="7"/>
        <v>0</v>
      </c>
      <c r="AT7" s="197">
        <f t="shared" si="7"/>
        <v>0</v>
      </c>
      <c r="AU7" s="197">
        <f t="shared" si="7"/>
        <v>0</v>
      </c>
      <c r="AV7" s="197">
        <f t="shared" si="7"/>
        <v>0</v>
      </c>
      <c r="AW7" s="197">
        <f t="shared" si="7"/>
        <v>0</v>
      </c>
      <c r="AX7" s="197">
        <f t="shared" si="7"/>
        <v>0</v>
      </c>
      <c r="AY7" s="197">
        <f t="shared" si="7"/>
        <v>0</v>
      </c>
      <c r="AZ7" s="197">
        <f t="shared" si="7"/>
        <v>0</v>
      </c>
      <c r="BA7" s="197">
        <f t="shared" si="7"/>
        <v>0</v>
      </c>
      <c r="BB7" s="197">
        <f t="shared" si="7"/>
        <v>0</v>
      </c>
      <c r="BC7" s="197">
        <f t="shared" si="7"/>
        <v>0</v>
      </c>
      <c r="BD7" s="197">
        <f t="shared" si="7"/>
        <v>0</v>
      </c>
      <c r="BE7" s="197">
        <f t="shared" si="7"/>
        <v>0</v>
      </c>
      <c r="BF7" s="197">
        <f t="shared" si="7"/>
        <v>0</v>
      </c>
      <c r="BG7" s="197">
        <f t="shared" si="7"/>
        <v>0</v>
      </c>
      <c r="BH7" s="197">
        <f t="shared" si="7"/>
        <v>0</v>
      </c>
      <c r="BI7" s="197">
        <f t="shared" si="7"/>
        <v>0</v>
      </c>
      <c r="BJ7" s="197">
        <f t="shared" si="7"/>
        <v>0</v>
      </c>
      <c r="BK7" s="197">
        <f t="shared" si="7"/>
        <v>0</v>
      </c>
      <c r="BL7" s="197">
        <f t="shared" si="7"/>
        <v>0</v>
      </c>
      <c r="BM7" s="197">
        <f t="shared" si="7"/>
        <v>0</v>
      </c>
      <c r="BN7" s="197">
        <f t="shared" si="7"/>
        <v>0</v>
      </c>
      <c r="BO7" s="197">
        <f t="shared" si="7"/>
        <v>0</v>
      </c>
      <c r="BP7" s="197">
        <f t="shared" si="7"/>
        <v>0</v>
      </c>
      <c r="BQ7" s="266">
        <f t="shared" si="7"/>
        <v>0</v>
      </c>
    </row>
    <row r="8" spans="1:69" outlineLevel="1" x14ac:dyDescent="0.25">
      <c r="B8" s="284" t="str">
        <f>+'Business Plan'!C95</f>
        <v>Capital Call 3</v>
      </c>
      <c r="C8" s="235">
        <f>+'Business Plan'!D95</f>
        <v>9400000</v>
      </c>
      <c r="D8" s="285"/>
      <c r="E8" s="200"/>
      <c r="F8" s="200"/>
      <c r="G8" s="236">
        <f>+'Business Plan'!F95</f>
        <v>45413</v>
      </c>
      <c r="H8" s="287"/>
      <c r="I8" s="246">
        <f>SUM(J8:BQ8)</f>
        <v>9400000</v>
      </c>
      <c r="J8" s="265">
        <f t="shared" ref="J8:AO8" si="8">IF(AND($G8&lt;=J$5,$G8&gt;I$5),$D8+$C8,0)</f>
        <v>0</v>
      </c>
      <c r="K8" s="197">
        <f t="shared" si="8"/>
        <v>0</v>
      </c>
      <c r="L8" s="197">
        <f t="shared" si="8"/>
        <v>0</v>
      </c>
      <c r="M8" s="197">
        <f t="shared" si="8"/>
        <v>0</v>
      </c>
      <c r="N8" s="197">
        <f t="shared" si="8"/>
        <v>9400000</v>
      </c>
      <c r="O8" s="197">
        <f t="shared" si="8"/>
        <v>0</v>
      </c>
      <c r="P8" s="197">
        <f t="shared" si="8"/>
        <v>0</v>
      </c>
      <c r="Q8" s="197">
        <f t="shared" si="8"/>
        <v>0</v>
      </c>
      <c r="R8" s="197">
        <f t="shared" si="8"/>
        <v>0</v>
      </c>
      <c r="S8" s="197">
        <f t="shared" si="8"/>
        <v>0</v>
      </c>
      <c r="T8" s="197">
        <f t="shared" si="8"/>
        <v>0</v>
      </c>
      <c r="U8" s="197">
        <f t="shared" si="8"/>
        <v>0</v>
      </c>
      <c r="V8" s="197">
        <f t="shared" si="8"/>
        <v>0</v>
      </c>
      <c r="W8" s="197">
        <f t="shared" si="8"/>
        <v>0</v>
      </c>
      <c r="X8" s="197">
        <f t="shared" si="8"/>
        <v>0</v>
      </c>
      <c r="Y8" s="197">
        <f t="shared" si="8"/>
        <v>0</v>
      </c>
      <c r="Z8" s="197">
        <f t="shared" si="8"/>
        <v>0</v>
      </c>
      <c r="AA8" s="197">
        <f t="shared" si="8"/>
        <v>0</v>
      </c>
      <c r="AB8" s="197">
        <f t="shared" si="8"/>
        <v>0</v>
      </c>
      <c r="AC8" s="197">
        <f t="shared" si="8"/>
        <v>0</v>
      </c>
      <c r="AD8" s="197">
        <f t="shared" si="8"/>
        <v>0</v>
      </c>
      <c r="AE8" s="197">
        <f t="shared" si="8"/>
        <v>0</v>
      </c>
      <c r="AF8" s="197">
        <f t="shared" si="8"/>
        <v>0</v>
      </c>
      <c r="AG8" s="197">
        <f t="shared" si="8"/>
        <v>0</v>
      </c>
      <c r="AH8" s="197">
        <f t="shared" si="8"/>
        <v>0</v>
      </c>
      <c r="AI8" s="197">
        <f t="shared" si="8"/>
        <v>0</v>
      </c>
      <c r="AJ8" s="197">
        <f t="shared" si="8"/>
        <v>0</v>
      </c>
      <c r="AK8" s="197">
        <f t="shared" si="8"/>
        <v>0</v>
      </c>
      <c r="AL8" s="197">
        <f t="shared" si="8"/>
        <v>0</v>
      </c>
      <c r="AM8" s="197">
        <f t="shared" si="8"/>
        <v>0</v>
      </c>
      <c r="AN8" s="197">
        <f t="shared" si="8"/>
        <v>0</v>
      </c>
      <c r="AO8" s="197">
        <f t="shared" si="8"/>
        <v>0</v>
      </c>
      <c r="AP8" s="197">
        <f t="shared" ref="AP8:BQ8" si="9">IF(AND($G8&lt;=AP$5,$G8&gt;AO$5),$D8+$C8,0)</f>
        <v>0</v>
      </c>
      <c r="AQ8" s="197">
        <f t="shared" si="9"/>
        <v>0</v>
      </c>
      <c r="AR8" s="197">
        <f t="shared" si="9"/>
        <v>0</v>
      </c>
      <c r="AS8" s="197">
        <f t="shared" si="9"/>
        <v>0</v>
      </c>
      <c r="AT8" s="197">
        <f t="shared" si="9"/>
        <v>0</v>
      </c>
      <c r="AU8" s="197">
        <f t="shared" si="9"/>
        <v>0</v>
      </c>
      <c r="AV8" s="197">
        <f t="shared" si="9"/>
        <v>0</v>
      </c>
      <c r="AW8" s="197">
        <f t="shared" si="9"/>
        <v>0</v>
      </c>
      <c r="AX8" s="197">
        <f t="shared" si="9"/>
        <v>0</v>
      </c>
      <c r="AY8" s="197">
        <f t="shared" si="9"/>
        <v>0</v>
      </c>
      <c r="AZ8" s="197">
        <f t="shared" si="9"/>
        <v>0</v>
      </c>
      <c r="BA8" s="197">
        <f t="shared" si="9"/>
        <v>0</v>
      </c>
      <c r="BB8" s="197">
        <f t="shared" si="9"/>
        <v>0</v>
      </c>
      <c r="BC8" s="197">
        <f t="shared" si="9"/>
        <v>0</v>
      </c>
      <c r="BD8" s="197">
        <f t="shared" si="9"/>
        <v>0</v>
      </c>
      <c r="BE8" s="197">
        <f t="shared" si="9"/>
        <v>0</v>
      </c>
      <c r="BF8" s="197">
        <f t="shared" si="9"/>
        <v>0</v>
      </c>
      <c r="BG8" s="197">
        <f t="shared" si="9"/>
        <v>0</v>
      </c>
      <c r="BH8" s="197">
        <f t="shared" si="9"/>
        <v>0</v>
      </c>
      <c r="BI8" s="197">
        <f t="shared" si="9"/>
        <v>0</v>
      </c>
      <c r="BJ8" s="197">
        <f t="shared" si="9"/>
        <v>0</v>
      </c>
      <c r="BK8" s="197">
        <f t="shared" si="9"/>
        <v>0</v>
      </c>
      <c r="BL8" s="197">
        <f t="shared" si="9"/>
        <v>0</v>
      </c>
      <c r="BM8" s="197">
        <f t="shared" si="9"/>
        <v>0</v>
      </c>
      <c r="BN8" s="197">
        <f t="shared" si="9"/>
        <v>0</v>
      </c>
      <c r="BO8" s="197">
        <f t="shared" si="9"/>
        <v>0</v>
      </c>
      <c r="BP8" s="197">
        <f t="shared" si="9"/>
        <v>0</v>
      </c>
      <c r="BQ8" s="266">
        <f t="shared" si="9"/>
        <v>0</v>
      </c>
    </row>
    <row r="9" spans="1:69" ht="31.5" outlineLevel="1" x14ac:dyDescent="0.25">
      <c r="B9" s="284" t="s">
        <v>574</v>
      </c>
      <c r="C9" s="235"/>
      <c r="D9" s="285">
        <f>-('Business Plan'!E103+'Business Plan'!E102)</f>
        <v>-10113833.090072921</v>
      </c>
      <c r="E9" s="200"/>
      <c r="F9" s="200"/>
      <c r="G9" s="236">
        <f>+'Business Plan'!F103</f>
        <v>45657</v>
      </c>
      <c r="H9" s="287"/>
      <c r="I9" s="246">
        <f>SUM(J9:BQ9)</f>
        <v>-10113833.090072921</v>
      </c>
      <c r="J9" s="265">
        <f t="shared" ref="J9:AO9" si="10">IF(AND($G9&lt;=J$5,$G9&gt;I$5),$D9+$C9,0)</f>
        <v>0</v>
      </c>
      <c r="K9" s="197">
        <f t="shared" si="10"/>
        <v>0</v>
      </c>
      <c r="L9" s="197">
        <f t="shared" si="10"/>
        <v>0</v>
      </c>
      <c r="M9" s="197">
        <f t="shared" si="10"/>
        <v>0</v>
      </c>
      <c r="N9" s="197">
        <f t="shared" si="10"/>
        <v>0</v>
      </c>
      <c r="O9" s="197">
        <f t="shared" si="10"/>
        <v>0</v>
      </c>
      <c r="P9" s="197">
        <f t="shared" si="10"/>
        <v>0</v>
      </c>
      <c r="Q9" s="197">
        <f t="shared" si="10"/>
        <v>0</v>
      </c>
      <c r="R9" s="197">
        <f t="shared" si="10"/>
        <v>0</v>
      </c>
      <c r="S9" s="197">
        <f t="shared" si="10"/>
        <v>0</v>
      </c>
      <c r="T9" s="197">
        <f t="shared" si="10"/>
        <v>0</v>
      </c>
      <c r="U9" s="197">
        <f t="shared" si="10"/>
        <v>-10113833.090072921</v>
      </c>
      <c r="V9" s="197">
        <f t="shared" si="10"/>
        <v>0</v>
      </c>
      <c r="W9" s="197">
        <f t="shared" si="10"/>
        <v>0</v>
      </c>
      <c r="X9" s="197">
        <f t="shared" si="10"/>
        <v>0</v>
      </c>
      <c r="Y9" s="197">
        <f t="shared" si="10"/>
        <v>0</v>
      </c>
      <c r="Z9" s="197">
        <f t="shared" si="10"/>
        <v>0</v>
      </c>
      <c r="AA9" s="197">
        <f t="shared" si="10"/>
        <v>0</v>
      </c>
      <c r="AB9" s="197">
        <f t="shared" si="10"/>
        <v>0</v>
      </c>
      <c r="AC9" s="197">
        <f t="shared" si="10"/>
        <v>0</v>
      </c>
      <c r="AD9" s="197">
        <f t="shared" si="10"/>
        <v>0</v>
      </c>
      <c r="AE9" s="197">
        <f t="shared" si="10"/>
        <v>0</v>
      </c>
      <c r="AF9" s="197">
        <f t="shared" si="10"/>
        <v>0</v>
      </c>
      <c r="AG9" s="197">
        <f t="shared" si="10"/>
        <v>0</v>
      </c>
      <c r="AH9" s="197">
        <f t="shared" si="10"/>
        <v>0</v>
      </c>
      <c r="AI9" s="197">
        <f t="shared" si="10"/>
        <v>0</v>
      </c>
      <c r="AJ9" s="197">
        <f t="shared" si="10"/>
        <v>0</v>
      </c>
      <c r="AK9" s="197">
        <f t="shared" si="10"/>
        <v>0</v>
      </c>
      <c r="AL9" s="197">
        <f t="shared" si="10"/>
        <v>0</v>
      </c>
      <c r="AM9" s="197">
        <f t="shared" si="10"/>
        <v>0</v>
      </c>
      <c r="AN9" s="197">
        <f t="shared" si="10"/>
        <v>0</v>
      </c>
      <c r="AO9" s="197">
        <f t="shared" si="10"/>
        <v>0</v>
      </c>
      <c r="AP9" s="197">
        <f t="shared" ref="AP9:BQ9" si="11">IF(AND($G9&lt;=AP$5,$G9&gt;AO$5),$D9+$C9,0)</f>
        <v>0</v>
      </c>
      <c r="AQ9" s="197">
        <f t="shared" si="11"/>
        <v>0</v>
      </c>
      <c r="AR9" s="197">
        <f t="shared" si="11"/>
        <v>0</v>
      </c>
      <c r="AS9" s="197">
        <f t="shared" si="11"/>
        <v>0</v>
      </c>
      <c r="AT9" s="197">
        <f t="shared" si="11"/>
        <v>0</v>
      </c>
      <c r="AU9" s="197">
        <f t="shared" si="11"/>
        <v>0</v>
      </c>
      <c r="AV9" s="197">
        <f t="shared" si="11"/>
        <v>0</v>
      </c>
      <c r="AW9" s="197">
        <f t="shared" si="11"/>
        <v>0</v>
      </c>
      <c r="AX9" s="197">
        <f t="shared" si="11"/>
        <v>0</v>
      </c>
      <c r="AY9" s="197">
        <f t="shared" si="11"/>
        <v>0</v>
      </c>
      <c r="AZ9" s="197">
        <f t="shared" si="11"/>
        <v>0</v>
      </c>
      <c r="BA9" s="197">
        <f t="shared" si="11"/>
        <v>0</v>
      </c>
      <c r="BB9" s="197">
        <f t="shared" si="11"/>
        <v>0</v>
      </c>
      <c r="BC9" s="197">
        <f t="shared" si="11"/>
        <v>0</v>
      </c>
      <c r="BD9" s="197">
        <f t="shared" si="11"/>
        <v>0</v>
      </c>
      <c r="BE9" s="197">
        <f t="shared" si="11"/>
        <v>0</v>
      </c>
      <c r="BF9" s="197">
        <f t="shared" si="11"/>
        <v>0</v>
      </c>
      <c r="BG9" s="197">
        <f t="shared" si="11"/>
        <v>0</v>
      </c>
      <c r="BH9" s="197">
        <f t="shared" si="11"/>
        <v>0</v>
      </c>
      <c r="BI9" s="197">
        <f t="shared" si="11"/>
        <v>0</v>
      </c>
      <c r="BJ9" s="197">
        <f t="shared" si="11"/>
        <v>0</v>
      </c>
      <c r="BK9" s="197">
        <f t="shared" si="11"/>
        <v>0</v>
      </c>
      <c r="BL9" s="197">
        <f t="shared" si="11"/>
        <v>0</v>
      </c>
      <c r="BM9" s="197">
        <f t="shared" si="11"/>
        <v>0</v>
      </c>
      <c r="BN9" s="197">
        <f t="shared" si="11"/>
        <v>0</v>
      </c>
      <c r="BO9" s="197">
        <f t="shared" si="11"/>
        <v>0</v>
      </c>
      <c r="BP9" s="197">
        <f t="shared" si="11"/>
        <v>0</v>
      </c>
      <c r="BQ9" s="266">
        <f t="shared" si="11"/>
        <v>0</v>
      </c>
    </row>
    <row r="10" spans="1:69" ht="16.5" outlineLevel="1" thickBot="1" x14ac:dyDescent="0.3">
      <c r="B10" s="257"/>
      <c r="C10" s="258"/>
      <c r="D10" s="277"/>
      <c r="E10" s="223"/>
      <c r="F10" s="223"/>
      <c r="G10" s="260"/>
      <c r="H10" s="288"/>
      <c r="I10" s="246">
        <f>SUM(J10:BQ10)</f>
        <v>0</v>
      </c>
      <c r="J10" s="267">
        <f t="shared" ref="J10:AO10" si="12">IF(AND($G10&lt;=J$5,$G10&gt;I$5),$D10+$C10,0)</f>
        <v>0</v>
      </c>
      <c r="K10" s="249">
        <f t="shared" si="12"/>
        <v>0</v>
      </c>
      <c r="L10" s="249">
        <f t="shared" si="12"/>
        <v>0</v>
      </c>
      <c r="M10" s="249">
        <f t="shared" si="12"/>
        <v>0</v>
      </c>
      <c r="N10" s="249">
        <f t="shared" si="12"/>
        <v>0</v>
      </c>
      <c r="O10" s="249">
        <f t="shared" si="12"/>
        <v>0</v>
      </c>
      <c r="P10" s="249">
        <f t="shared" si="12"/>
        <v>0</v>
      </c>
      <c r="Q10" s="249">
        <f t="shared" si="12"/>
        <v>0</v>
      </c>
      <c r="R10" s="249">
        <f t="shared" si="12"/>
        <v>0</v>
      </c>
      <c r="S10" s="249">
        <f t="shared" si="12"/>
        <v>0</v>
      </c>
      <c r="T10" s="249">
        <f t="shared" si="12"/>
        <v>0</v>
      </c>
      <c r="U10" s="249">
        <f t="shared" si="12"/>
        <v>0</v>
      </c>
      <c r="V10" s="249">
        <f t="shared" si="12"/>
        <v>0</v>
      </c>
      <c r="W10" s="249">
        <f t="shared" si="12"/>
        <v>0</v>
      </c>
      <c r="X10" s="249">
        <f t="shared" si="12"/>
        <v>0</v>
      </c>
      <c r="Y10" s="249">
        <f t="shared" si="12"/>
        <v>0</v>
      </c>
      <c r="Z10" s="249">
        <f t="shared" si="12"/>
        <v>0</v>
      </c>
      <c r="AA10" s="249">
        <f t="shared" si="12"/>
        <v>0</v>
      </c>
      <c r="AB10" s="249">
        <f t="shared" si="12"/>
        <v>0</v>
      </c>
      <c r="AC10" s="249">
        <f t="shared" si="12"/>
        <v>0</v>
      </c>
      <c r="AD10" s="249">
        <f t="shared" si="12"/>
        <v>0</v>
      </c>
      <c r="AE10" s="249">
        <f t="shared" si="12"/>
        <v>0</v>
      </c>
      <c r="AF10" s="249">
        <f t="shared" si="12"/>
        <v>0</v>
      </c>
      <c r="AG10" s="249">
        <f t="shared" si="12"/>
        <v>0</v>
      </c>
      <c r="AH10" s="249">
        <f t="shared" si="12"/>
        <v>0</v>
      </c>
      <c r="AI10" s="249">
        <f t="shared" si="12"/>
        <v>0</v>
      </c>
      <c r="AJ10" s="249">
        <f t="shared" si="12"/>
        <v>0</v>
      </c>
      <c r="AK10" s="249">
        <f t="shared" si="12"/>
        <v>0</v>
      </c>
      <c r="AL10" s="249">
        <f t="shared" si="12"/>
        <v>0</v>
      </c>
      <c r="AM10" s="249">
        <f t="shared" si="12"/>
        <v>0</v>
      </c>
      <c r="AN10" s="249">
        <f t="shared" si="12"/>
        <v>0</v>
      </c>
      <c r="AO10" s="249">
        <f t="shared" si="12"/>
        <v>0</v>
      </c>
      <c r="AP10" s="249">
        <f t="shared" ref="AP10:BQ10" si="13">IF(AND($G10&lt;=AP$5,$G10&gt;AO$5),$D10+$C10,0)</f>
        <v>0</v>
      </c>
      <c r="AQ10" s="249">
        <f t="shared" si="13"/>
        <v>0</v>
      </c>
      <c r="AR10" s="249">
        <f t="shared" si="13"/>
        <v>0</v>
      </c>
      <c r="AS10" s="249">
        <f t="shared" si="13"/>
        <v>0</v>
      </c>
      <c r="AT10" s="249">
        <f t="shared" si="13"/>
        <v>0</v>
      </c>
      <c r="AU10" s="249">
        <f t="shared" si="13"/>
        <v>0</v>
      </c>
      <c r="AV10" s="249">
        <f t="shared" si="13"/>
        <v>0</v>
      </c>
      <c r="AW10" s="249">
        <f t="shared" si="13"/>
        <v>0</v>
      </c>
      <c r="AX10" s="249">
        <f t="shared" si="13"/>
        <v>0</v>
      </c>
      <c r="AY10" s="249">
        <f t="shared" si="13"/>
        <v>0</v>
      </c>
      <c r="AZ10" s="249">
        <f t="shared" si="13"/>
        <v>0</v>
      </c>
      <c r="BA10" s="249">
        <f t="shared" si="13"/>
        <v>0</v>
      </c>
      <c r="BB10" s="249">
        <f t="shared" si="13"/>
        <v>0</v>
      </c>
      <c r="BC10" s="249">
        <f t="shared" si="13"/>
        <v>0</v>
      </c>
      <c r="BD10" s="249">
        <f t="shared" si="13"/>
        <v>0</v>
      </c>
      <c r="BE10" s="249">
        <f t="shared" si="13"/>
        <v>0</v>
      </c>
      <c r="BF10" s="249">
        <f t="shared" si="13"/>
        <v>0</v>
      </c>
      <c r="BG10" s="249">
        <f t="shared" si="13"/>
        <v>0</v>
      </c>
      <c r="BH10" s="249">
        <f t="shared" si="13"/>
        <v>0</v>
      </c>
      <c r="BI10" s="249">
        <f t="shared" si="13"/>
        <v>0</v>
      </c>
      <c r="BJ10" s="249">
        <f t="shared" si="13"/>
        <v>0</v>
      </c>
      <c r="BK10" s="249">
        <f t="shared" si="13"/>
        <v>0</v>
      </c>
      <c r="BL10" s="249">
        <f t="shared" si="13"/>
        <v>0</v>
      </c>
      <c r="BM10" s="249">
        <f t="shared" si="13"/>
        <v>0</v>
      </c>
      <c r="BN10" s="249">
        <f t="shared" si="13"/>
        <v>0</v>
      </c>
      <c r="BO10" s="249">
        <f t="shared" si="13"/>
        <v>0</v>
      </c>
      <c r="BP10" s="249">
        <f t="shared" si="13"/>
        <v>0</v>
      </c>
      <c r="BQ10" s="268">
        <f t="shared" si="13"/>
        <v>0</v>
      </c>
    </row>
    <row r="11" spans="1:69" s="206" customFormat="1" outlineLevel="1" x14ac:dyDescent="0.25">
      <c r="A11" s="104"/>
      <c r="B11" s="201"/>
      <c r="C11" s="202"/>
      <c r="D11" s="203"/>
      <c r="E11" s="202"/>
      <c r="F11" s="202"/>
      <c r="G11" s="204"/>
      <c r="H11" s="204"/>
      <c r="I11" s="246"/>
      <c r="J11" s="203"/>
      <c r="K11" s="203"/>
      <c r="L11" s="203"/>
      <c r="M11" s="203"/>
      <c r="N11" s="203"/>
      <c r="O11" s="205"/>
      <c r="P11" s="205"/>
      <c r="Q11" s="205"/>
      <c r="R11" s="205"/>
      <c r="S11" s="205"/>
      <c r="T11" s="205"/>
      <c r="U11" s="203"/>
      <c r="V11" s="203"/>
      <c r="W11" s="203"/>
      <c r="X11" s="203"/>
      <c r="Y11" s="203"/>
      <c r="Z11" s="203"/>
      <c r="AA11" s="203"/>
      <c r="AB11" s="203"/>
      <c r="AC11" s="203"/>
      <c r="AD11" s="203"/>
      <c r="AE11" s="203"/>
      <c r="AF11" s="203"/>
      <c r="AG11" s="203"/>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row>
    <row r="12" spans="1:69" ht="16.5" thickBot="1" x14ac:dyDescent="0.3">
      <c r="C12" s="299">
        <f>SUM(C6:C11)</f>
        <v>15000000</v>
      </c>
      <c r="D12" s="299">
        <f>SUM(D6:D11)</f>
        <v>-10113833.090072921</v>
      </c>
      <c r="E12" s="126"/>
      <c r="F12" s="126"/>
      <c r="G12" s="126"/>
      <c r="H12" s="341" t="str">
        <f>"Total"&amp;RIGHT(B4,LEN(B4)-2)</f>
        <v>Total Capital Activities</v>
      </c>
      <c r="I12" s="246">
        <f>SUM(J12:BQ12)</f>
        <v>4886166.9099270795</v>
      </c>
      <c r="J12" s="207">
        <f t="shared" ref="J12:AO12" si="14">SUM(J6:J11)</f>
        <v>5600000</v>
      </c>
      <c r="K12" s="207">
        <f t="shared" si="14"/>
        <v>0</v>
      </c>
      <c r="L12" s="207">
        <f t="shared" si="14"/>
        <v>0</v>
      </c>
      <c r="M12" s="207">
        <f t="shared" si="14"/>
        <v>0</v>
      </c>
      <c r="N12" s="207">
        <f t="shared" si="14"/>
        <v>9400000</v>
      </c>
      <c r="O12" s="207">
        <f t="shared" si="14"/>
        <v>0</v>
      </c>
      <c r="P12" s="207">
        <f t="shared" si="14"/>
        <v>0</v>
      </c>
      <c r="Q12" s="207">
        <f t="shared" si="14"/>
        <v>0</v>
      </c>
      <c r="R12" s="207">
        <f t="shared" si="14"/>
        <v>0</v>
      </c>
      <c r="S12" s="207">
        <f t="shared" si="14"/>
        <v>0</v>
      </c>
      <c r="T12" s="207">
        <f t="shared" si="14"/>
        <v>0</v>
      </c>
      <c r="U12" s="207">
        <f t="shared" si="14"/>
        <v>-10113833.090072921</v>
      </c>
      <c r="V12" s="207">
        <f t="shared" si="14"/>
        <v>0</v>
      </c>
      <c r="W12" s="207">
        <f t="shared" si="14"/>
        <v>0</v>
      </c>
      <c r="X12" s="207">
        <f t="shared" si="14"/>
        <v>0</v>
      </c>
      <c r="Y12" s="207">
        <f t="shared" si="14"/>
        <v>0</v>
      </c>
      <c r="Z12" s="207">
        <f t="shared" si="14"/>
        <v>0</v>
      </c>
      <c r="AA12" s="207">
        <f t="shared" si="14"/>
        <v>0</v>
      </c>
      <c r="AB12" s="207">
        <f t="shared" si="14"/>
        <v>0</v>
      </c>
      <c r="AC12" s="207">
        <f t="shared" si="14"/>
        <v>0</v>
      </c>
      <c r="AD12" s="207">
        <f t="shared" si="14"/>
        <v>0</v>
      </c>
      <c r="AE12" s="207">
        <f t="shared" si="14"/>
        <v>0</v>
      </c>
      <c r="AF12" s="207">
        <f t="shared" si="14"/>
        <v>0</v>
      </c>
      <c r="AG12" s="207">
        <f t="shared" si="14"/>
        <v>0</v>
      </c>
      <c r="AH12" s="207">
        <f t="shared" si="14"/>
        <v>0</v>
      </c>
      <c r="AI12" s="207">
        <f t="shared" si="14"/>
        <v>0</v>
      </c>
      <c r="AJ12" s="207">
        <f t="shared" si="14"/>
        <v>0</v>
      </c>
      <c r="AK12" s="207">
        <f t="shared" si="14"/>
        <v>0</v>
      </c>
      <c r="AL12" s="207">
        <f t="shared" si="14"/>
        <v>0</v>
      </c>
      <c r="AM12" s="207">
        <f t="shared" si="14"/>
        <v>0</v>
      </c>
      <c r="AN12" s="207">
        <f t="shared" si="14"/>
        <v>0</v>
      </c>
      <c r="AO12" s="207">
        <f t="shared" si="14"/>
        <v>0</v>
      </c>
      <c r="AP12" s="207">
        <f t="shared" ref="AP12:BQ12" si="15">SUM(AP6:AP11)</f>
        <v>0</v>
      </c>
      <c r="AQ12" s="207">
        <f t="shared" si="15"/>
        <v>0</v>
      </c>
      <c r="AR12" s="207">
        <f t="shared" si="15"/>
        <v>0</v>
      </c>
      <c r="AS12" s="207">
        <f t="shared" si="15"/>
        <v>0</v>
      </c>
      <c r="AT12" s="207">
        <f t="shared" si="15"/>
        <v>0</v>
      </c>
      <c r="AU12" s="207">
        <f t="shared" si="15"/>
        <v>0</v>
      </c>
      <c r="AV12" s="207">
        <f t="shared" si="15"/>
        <v>0</v>
      </c>
      <c r="AW12" s="207">
        <f t="shared" si="15"/>
        <v>0</v>
      </c>
      <c r="AX12" s="207">
        <f t="shared" si="15"/>
        <v>0</v>
      </c>
      <c r="AY12" s="207">
        <f t="shared" si="15"/>
        <v>0</v>
      </c>
      <c r="AZ12" s="207">
        <f t="shared" si="15"/>
        <v>0</v>
      </c>
      <c r="BA12" s="207">
        <f t="shared" si="15"/>
        <v>0</v>
      </c>
      <c r="BB12" s="207">
        <f t="shared" si="15"/>
        <v>0</v>
      </c>
      <c r="BC12" s="207">
        <f t="shared" si="15"/>
        <v>0</v>
      </c>
      <c r="BD12" s="207">
        <f t="shared" si="15"/>
        <v>0</v>
      </c>
      <c r="BE12" s="207">
        <f t="shared" si="15"/>
        <v>0</v>
      </c>
      <c r="BF12" s="207">
        <f t="shared" si="15"/>
        <v>0</v>
      </c>
      <c r="BG12" s="207">
        <f t="shared" si="15"/>
        <v>0</v>
      </c>
      <c r="BH12" s="207">
        <f t="shared" si="15"/>
        <v>0</v>
      </c>
      <c r="BI12" s="207">
        <f t="shared" si="15"/>
        <v>0</v>
      </c>
      <c r="BJ12" s="207">
        <f t="shared" si="15"/>
        <v>0</v>
      </c>
      <c r="BK12" s="207">
        <f t="shared" si="15"/>
        <v>0</v>
      </c>
      <c r="BL12" s="207">
        <f t="shared" si="15"/>
        <v>0</v>
      </c>
      <c r="BM12" s="207">
        <f t="shared" si="15"/>
        <v>0</v>
      </c>
      <c r="BN12" s="207">
        <f t="shared" si="15"/>
        <v>0</v>
      </c>
      <c r="BO12" s="207">
        <f t="shared" si="15"/>
        <v>0</v>
      </c>
      <c r="BP12" s="207">
        <f t="shared" si="15"/>
        <v>0</v>
      </c>
      <c r="BQ12" s="207">
        <f t="shared" si="15"/>
        <v>0</v>
      </c>
    </row>
    <row r="13" spans="1:69" s="126" customFormat="1" outlineLevel="1" x14ac:dyDescent="0.25">
      <c r="B13" s="208"/>
      <c r="C13" s="339"/>
      <c r="E13" s="339"/>
      <c r="F13" s="339"/>
      <c r="G13" s="340"/>
      <c r="H13" s="342" t="str">
        <f>"ITD "&amp;H12</f>
        <v>ITD Total Capital Activities</v>
      </c>
      <c r="I13" s="243"/>
      <c r="J13" s="211">
        <f>+J12</f>
        <v>5600000</v>
      </c>
      <c r="K13" s="211">
        <f t="shared" ref="K13:AP13" si="16">+K12+J13</f>
        <v>5600000</v>
      </c>
      <c r="L13" s="211">
        <f t="shared" si="16"/>
        <v>5600000</v>
      </c>
      <c r="M13" s="211">
        <f t="shared" si="16"/>
        <v>5600000</v>
      </c>
      <c r="N13" s="395">
        <f t="shared" si="16"/>
        <v>15000000</v>
      </c>
      <c r="O13" s="211">
        <f t="shared" si="16"/>
        <v>15000000</v>
      </c>
      <c r="P13" s="211">
        <f t="shared" si="16"/>
        <v>15000000</v>
      </c>
      <c r="Q13" s="211">
        <f t="shared" si="16"/>
        <v>15000000</v>
      </c>
      <c r="R13" s="211">
        <f t="shared" si="16"/>
        <v>15000000</v>
      </c>
      <c r="S13" s="211">
        <f t="shared" si="16"/>
        <v>15000000</v>
      </c>
      <c r="T13" s="211">
        <f t="shared" si="16"/>
        <v>15000000</v>
      </c>
      <c r="U13" s="211">
        <f t="shared" si="16"/>
        <v>4886166.9099270795</v>
      </c>
      <c r="V13" s="211">
        <f t="shared" si="16"/>
        <v>4886166.9099270795</v>
      </c>
      <c r="W13" s="211">
        <f t="shared" si="16"/>
        <v>4886166.9099270795</v>
      </c>
      <c r="X13" s="211">
        <f t="shared" si="16"/>
        <v>4886166.9099270795</v>
      </c>
      <c r="Y13" s="211">
        <f t="shared" si="16"/>
        <v>4886166.9099270795</v>
      </c>
      <c r="Z13" s="211">
        <f t="shared" si="16"/>
        <v>4886166.9099270795</v>
      </c>
      <c r="AA13" s="211">
        <f t="shared" si="16"/>
        <v>4886166.9099270795</v>
      </c>
      <c r="AB13" s="211">
        <f t="shared" si="16"/>
        <v>4886166.9099270795</v>
      </c>
      <c r="AC13" s="211">
        <f t="shared" si="16"/>
        <v>4886166.9099270795</v>
      </c>
      <c r="AD13" s="211">
        <f t="shared" si="16"/>
        <v>4886166.9099270795</v>
      </c>
      <c r="AE13" s="211">
        <f t="shared" si="16"/>
        <v>4886166.9099270795</v>
      </c>
      <c r="AF13" s="211">
        <f t="shared" si="16"/>
        <v>4886166.9099270795</v>
      </c>
      <c r="AG13" s="211">
        <f t="shared" si="16"/>
        <v>4886166.9099270795</v>
      </c>
      <c r="AH13" s="211">
        <f t="shared" si="16"/>
        <v>4886166.9099270795</v>
      </c>
      <c r="AI13" s="211">
        <f t="shared" si="16"/>
        <v>4886166.9099270795</v>
      </c>
      <c r="AJ13" s="211">
        <f t="shared" si="16"/>
        <v>4886166.9099270795</v>
      </c>
      <c r="AK13" s="211">
        <f t="shared" si="16"/>
        <v>4886166.9099270795</v>
      </c>
      <c r="AL13" s="211">
        <f t="shared" si="16"/>
        <v>4886166.9099270795</v>
      </c>
      <c r="AM13" s="211">
        <f t="shared" si="16"/>
        <v>4886166.9099270795</v>
      </c>
      <c r="AN13" s="211">
        <f t="shared" si="16"/>
        <v>4886166.9099270795</v>
      </c>
      <c r="AO13" s="211">
        <f t="shared" si="16"/>
        <v>4886166.9099270795</v>
      </c>
      <c r="AP13" s="211">
        <f t="shared" si="16"/>
        <v>4886166.9099270795</v>
      </c>
      <c r="AQ13" s="211">
        <f t="shared" ref="AQ13:BQ13" si="17">+AQ12+AP13</f>
        <v>4886166.9099270795</v>
      </c>
      <c r="AR13" s="211">
        <f t="shared" si="17"/>
        <v>4886166.9099270795</v>
      </c>
      <c r="AS13" s="211">
        <f t="shared" si="17"/>
        <v>4886166.9099270795</v>
      </c>
      <c r="AT13" s="211">
        <f t="shared" si="17"/>
        <v>4886166.9099270795</v>
      </c>
      <c r="AU13" s="211">
        <f t="shared" si="17"/>
        <v>4886166.9099270795</v>
      </c>
      <c r="AV13" s="211">
        <f t="shared" si="17"/>
        <v>4886166.9099270795</v>
      </c>
      <c r="AW13" s="211">
        <f t="shared" si="17"/>
        <v>4886166.9099270795</v>
      </c>
      <c r="AX13" s="211">
        <f t="shared" si="17"/>
        <v>4886166.9099270795</v>
      </c>
      <c r="AY13" s="211">
        <f t="shared" si="17"/>
        <v>4886166.9099270795</v>
      </c>
      <c r="AZ13" s="211">
        <f t="shared" si="17"/>
        <v>4886166.9099270795</v>
      </c>
      <c r="BA13" s="211">
        <f t="shared" si="17"/>
        <v>4886166.9099270795</v>
      </c>
      <c r="BB13" s="211">
        <f t="shared" si="17"/>
        <v>4886166.9099270795</v>
      </c>
      <c r="BC13" s="211">
        <f t="shared" si="17"/>
        <v>4886166.9099270795</v>
      </c>
      <c r="BD13" s="211">
        <f t="shared" si="17"/>
        <v>4886166.9099270795</v>
      </c>
      <c r="BE13" s="211">
        <f t="shared" si="17"/>
        <v>4886166.9099270795</v>
      </c>
      <c r="BF13" s="211">
        <f t="shared" si="17"/>
        <v>4886166.9099270795</v>
      </c>
      <c r="BG13" s="211">
        <f t="shared" si="17"/>
        <v>4886166.9099270795</v>
      </c>
      <c r="BH13" s="211">
        <f t="shared" si="17"/>
        <v>4886166.9099270795</v>
      </c>
      <c r="BI13" s="211">
        <f t="shared" si="17"/>
        <v>4886166.9099270795</v>
      </c>
      <c r="BJ13" s="211">
        <f t="shared" si="17"/>
        <v>4886166.9099270795</v>
      </c>
      <c r="BK13" s="211">
        <f t="shared" si="17"/>
        <v>4886166.9099270795</v>
      </c>
      <c r="BL13" s="211">
        <f t="shared" si="17"/>
        <v>4886166.9099270795</v>
      </c>
      <c r="BM13" s="211">
        <f t="shared" si="17"/>
        <v>4886166.9099270795</v>
      </c>
      <c r="BN13" s="211">
        <f t="shared" si="17"/>
        <v>4886166.9099270795</v>
      </c>
      <c r="BO13" s="211">
        <f t="shared" si="17"/>
        <v>4886166.9099270795</v>
      </c>
      <c r="BP13" s="211">
        <f t="shared" si="17"/>
        <v>4886166.9099270795</v>
      </c>
      <c r="BQ13" s="211">
        <f t="shared" si="17"/>
        <v>4886166.9099270795</v>
      </c>
    </row>
    <row r="14" spans="1:69" outlineLevel="1" x14ac:dyDescent="0.25">
      <c r="B14" s="208"/>
      <c r="C14" s="209"/>
      <c r="D14" s="209"/>
      <c r="E14" s="209"/>
      <c r="F14" s="209"/>
      <c r="G14" s="210"/>
      <c r="H14" s="210"/>
      <c r="J14" s="211"/>
      <c r="K14" s="211"/>
      <c r="L14" s="211"/>
      <c r="M14" s="211"/>
      <c r="N14" s="443">
        <f>+N13-'Business Plan'!D97</f>
        <v>0</v>
      </c>
      <c r="O14" s="211"/>
      <c r="P14" s="211"/>
      <c r="Q14" s="211"/>
      <c r="R14" s="211"/>
      <c r="S14" s="211"/>
      <c r="T14" s="211"/>
      <c r="U14" s="443">
        <f>+U12+'Business Plan'!E107</f>
        <v>0</v>
      </c>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c r="BI14" s="211"/>
      <c r="BJ14" s="211"/>
      <c r="BK14" s="211"/>
      <c r="BL14" s="211"/>
      <c r="BM14" s="211"/>
      <c r="BN14" s="211"/>
      <c r="BO14" s="211"/>
      <c r="BP14" s="211"/>
      <c r="BQ14" s="211"/>
    </row>
    <row r="15" spans="1:69" s="193" customFormat="1" ht="16.5" thickBot="1" x14ac:dyDescent="0.3">
      <c r="B15" s="194" t="s">
        <v>262</v>
      </c>
      <c r="C15" s="194"/>
      <c r="D15" s="194"/>
      <c r="E15" s="194"/>
      <c r="F15" s="194"/>
      <c r="G15" s="194"/>
      <c r="H15" s="194"/>
      <c r="I15" s="244"/>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row>
    <row r="16" spans="1:69" ht="31.5" x14ac:dyDescent="0.25">
      <c r="B16" s="212" t="s">
        <v>201</v>
      </c>
      <c r="C16" s="213" t="s">
        <v>261</v>
      </c>
      <c r="D16" s="213" t="s">
        <v>260</v>
      </c>
      <c r="E16" s="213" t="s">
        <v>71</v>
      </c>
      <c r="F16" s="213" t="str">
        <f>+F5</f>
        <v>Description</v>
      </c>
      <c r="G16" s="213" t="s">
        <v>247</v>
      </c>
      <c r="H16" s="214" t="s">
        <v>246</v>
      </c>
      <c r="J16" s="400">
        <f t="shared" ref="J16:AO16" si="18">+J5</f>
        <v>45322</v>
      </c>
      <c r="K16" s="401">
        <f t="shared" si="18"/>
        <v>45351</v>
      </c>
      <c r="L16" s="401">
        <f t="shared" si="18"/>
        <v>45382</v>
      </c>
      <c r="M16" s="401">
        <f t="shared" si="18"/>
        <v>45412</v>
      </c>
      <c r="N16" s="401">
        <f t="shared" si="18"/>
        <v>45443</v>
      </c>
      <c r="O16" s="401">
        <f t="shared" si="18"/>
        <v>45473</v>
      </c>
      <c r="P16" s="401">
        <f t="shared" si="18"/>
        <v>45504</v>
      </c>
      <c r="Q16" s="401">
        <f t="shared" si="18"/>
        <v>45535</v>
      </c>
      <c r="R16" s="401">
        <f t="shared" si="18"/>
        <v>45565</v>
      </c>
      <c r="S16" s="401">
        <f t="shared" si="18"/>
        <v>45596</v>
      </c>
      <c r="T16" s="401">
        <f t="shared" si="18"/>
        <v>45626</v>
      </c>
      <c r="U16" s="401">
        <f t="shared" si="18"/>
        <v>45657</v>
      </c>
      <c r="V16" s="401">
        <f t="shared" si="18"/>
        <v>45688</v>
      </c>
      <c r="W16" s="401">
        <f t="shared" si="18"/>
        <v>45716</v>
      </c>
      <c r="X16" s="401">
        <f t="shared" si="18"/>
        <v>45747</v>
      </c>
      <c r="Y16" s="401">
        <f t="shared" si="18"/>
        <v>45777</v>
      </c>
      <c r="Z16" s="401">
        <f t="shared" si="18"/>
        <v>45808</v>
      </c>
      <c r="AA16" s="401">
        <f t="shared" si="18"/>
        <v>45838</v>
      </c>
      <c r="AB16" s="401">
        <f t="shared" si="18"/>
        <v>45869</v>
      </c>
      <c r="AC16" s="401">
        <f t="shared" si="18"/>
        <v>45900</v>
      </c>
      <c r="AD16" s="401">
        <f t="shared" si="18"/>
        <v>45930</v>
      </c>
      <c r="AE16" s="401">
        <f t="shared" si="18"/>
        <v>45961</v>
      </c>
      <c r="AF16" s="401">
        <f t="shared" si="18"/>
        <v>45991</v>
      </c>
      <c r="AG16" s="401">
        <f t="shared" si="18"/>
        <v>46022</v>
      </c>
      <c r="AH16" s="401">
        <f t="shared" si="18"/>
        <v>46053</v>
      </c>
      <c r="AI16" s="401">
        <f t="shared" si="18"/>
        <v>46081</v>
      </c>
      <c r="AJ16" s="401">
        <f t="shared" si="18"/>
        <v>46112</v>
      </c>
      <c r="AK16" s="401">
        <f t="shared" si="18"/>
        <v>46142</v>
      </c>
      <c r="AL16" s="401">
        <f t="shared" si="18"/>
        <v>46173</v>
      </c>
      <c r="AM16" s="401">
        <f t="shared" si="18"/>
        <v>46203</v>
      </c>
      <c r="AN16" s="401">
        <f t="shared" si="18"/>
        <v>46234</v>
      </c>
      <c r="AO16" s="401">
        <f t="shared" si="18"/>
        <v>46265</v>
      </c>
      <c r="AP16" s="401">
        <f t="shared" ref="AP16:BQ16" si="19">+AP5</f>
        <v>46295</v>
      </c>
      <c r="AQ16" s="401">
        <f t="shared" si="19"/>
        <v>46326</v>
      </c>
      <c r="AR16" s="401">
        <f t="shared" si="19"/>
        <v>46356</v>
      </c>
      <c r="AS16" s="401">
        <f t="shared" si="19"/>
        <v>46387</v>
      </c>
      <c r="AT16" s="401">
        <f t="shared" si="19"/>
        <v>46418</v>
      </c>
      <c r="AU16" s="401">
        <f t="shared" si="19"/>
        <v>46446</v>
      </c>
      <c r="AV16" s="401">
        <f t="shared" si="19"/>
        <v>46477</v>
      </c>
      <c r="AW16" s="401">
        <f t="shared" si="19"/>
        <v>46507</v>
      </c>
      <c r="AX16" s="401">
        <f t="shared" si="19"/>
        <v>46538</v>
      </c>
      <c r="AY16" s="401">
        <f t="shared" si="19"/>
        <v>46568</v>
      </c>
      <c r="AZ16" s="401">
        <f t="shared" si="19"/>
        <v>46599</v>
      </c>
      <c r="BA16" s="401">
        <f t="shared" si="19"/>
        <v>46630</v>
      </c>
      <c r="BB16" s="401">
        <f t="shared" si="19"/>
        <v>46660</v>
      </c>
      <c r="BC16" s="401">
        <f t="shared" si="19"/>
        <v>46691</v>
      </c>
      <c r="BD16" s="401">
        <f t="shared" si="19"/>
        <v>46721</v>
      </c>
      <c r="BE16" s="401">
        <f t="shared" si="19"/>
        <v>46752</v>
      </c>
      <c r="BF16" s="401">
        <f t="shared" si="19"/>
        <v>46783</v>
      </c>
      <c r="BG16" s="401">
        <f t="shared" si="19"/>
        <v>46812</v>
      </c>
      <c r="BH16" s="401">
        <f t="shared" si="19"/>
        <v>46843</v>
      </c>
      <c r="BI16" s="401">
        <f t="shared" si="19"/>
        <v>46873</v>
      </c>
      <c r="BJ16" s="401">
        <f t="shared" si="19"/>
        <v>46904</v>
      </c>
      <c r="BK16" s="401">
        <f t="shared" si="19"/>
        <v>46934</v>
      </c>
      <c r="BL16" s="401">
        <f t="shared" si="19"/>
        <v>46965</v>
      </c>
      <c r="BM16" s="401">
        <f t="shared" si="19"/>
        <v>46996</v>
      </c>
      <c r="BN16" s="401">
        <f t="shared" si="19"/>
        <v>47026</v>
      </c>
      <c r="BO16" s="401">
        <f t="shared" si="19"/>
        <v>47057</v>
      </c>
      <c r="BP16" s="401">
        <f t="shared" si="19"/>
        <v>47087</v>
      </c>
      <c r="BQ16" s="402">
        <f t="shared" si="19"/>
        <v>47118</v>
      </c>
    </row>
    <row r="17" spans="1:69" outlineLevel="1" x14ac:dyDescent="0.25">
      <c r="B17" s="284" t="str">
        <f>"Invest in "&amp;'Business Plan'!C34</f>
        <v>Invest in Laundromat</v>
      </c>
      <c r="C17" s="235">
        <f>-'Business Plan'!D112</f>
        <v>-800000</v>
      </c>
      <c r="D17" s="237">
        <f>+'Business Plan'!D42</f>
        <v>1100000</v>
      </c>
      <c r="E17" s="198" t="s">
        <v>259</v>
      </c>
      <c r="F17" s="198"/>
      <c r="G17" s="236">
        <f>+'Business Plan'!D39</f>
        <v>45306</v>
      </c>
      <c r="H17" s="286">
        <f>+'Business Plan'!D40</f>
        <v>47118</v>
      </c>
      <c r="I17" s="246">
        <f>SUM(J17:BQ17)</f>
        <v>300000</v>
      </c>
      <c r="J17" s="403">
        <f>IF(AND($H17&lt;=J$16,$H17&gt;I$16),$D17,IF(AND($G17&lt;=J$16,$G17&gt;I$16),$C17,0))+IF($H$17=J16,D17,0)</f>
        <v>-800000</v>
      </c>
      <c r="K17" s="197">
        <f t="shared" ref="K17:BQ17" si="20">IF(AND($H17&lt;=K$16,$H17&gt;J$16),$D17,IF(AND($G17&lt;=K$16,$G17&gt;J$16),$C17,0))+IF($H$17=K16,E17,0)</f>
        <v>0</v>
      </c>
      <c r="L17" s="197">
        <f t="shared" si="20"/>
        <v>0</v>
      </c>
      <c r="M17" s="197">
        <f t="shared" si="20"/>
        <v>0</v>
      </c>
      <c r="N17" s="197">
        <f t="shared" si="20"/>
        <v>0</v>
      </c>
      <c r="O17" s="197">
        <f t="shared" si="20"/>
        <v>0</v>
      </c>
      <c r="P17" s="197">
        <f t="shared" si="20"/>
        <v>0</v>
      </c>
      <c r="Q17" s="197">
        <f t="shared" si="20"/>
        <v>0</v>
      </c>
      <c r="R17" s="197">
        <f t="shared" si="20"/>
        <v>0</v>
      </c>
      <c r="S17" s="197">
        <f t="shared" si="20"/>
        <v>0</v>
      </c>
      <c r="T17" s="197">
        <f t="shared" si="20"/>
        <v>0</v>
      </c>
      <c r="U17" s="197">
        <f t="shared" si="20"/>
        <v>0</v>
      </c>
      <c r="V17" s="197">
        <f t="shared" si="20"/>
        <v>0</v>
      </c>
      <c r="W17" s="197">
        <f t="shared" si="20"/>
        <v>0</v>
      </c>
      <c r="X17" s="197">
        <f t="shared" si="20"/>
        <v>0</v>
      </c>
      <c r="Y17" s="197">
        <f t="shared" si="20"/>
        <v>0</v>
      </c>
      <c r="Z17" s="197">
        <f t="shared" si="20"/>
        <v>0</v>
      </c>
      <c r="AA17" s="197">
        <f t="shared" si="20"/>
        <v>0</v>
      </c>
      <c r="AB17" s="197">
        <f t="shared" si="20"/>
        <v>0</v>
      </c>
      <c r="AC17" s="197">
        <f t="shared" si="20"/>
        <v>0</v>
      </c>
      <c r="AD17" s="197">
        <f t="shared" si="20"/>
        <v>0</v>
      </c>
      <c r="AE17" s="197">
        <f t="shared" si="20"/>
        <v>0</v>
      </c>
      <c r="AF17" s="197">
        <f t="shared" si="20"/>
        <v>0</v>
      </c>
      <c r="AG17" s="197">
        <f t="shared" si="20"/>
        <v>0</v>
      </c>
      <c r="AH17" s="197">
        <f t="shared" si="20"/>
        <v>0</v>
      </c>
      <c r="AI17" s="197">
        <f t="shared" si="20"/>
        <v>0</v>
      </c>
      <c r="AJ17" s="197">
        <f t="shared" si="20"/>
        <v>0</v>
      </c>
      <c r="AK17" s="197">
        <f t="shared" si="20"/>
        <v>0</v>
      </c>
      <c r="AL17" s="197">
        <f t="shared" si="20"/>
        <v>0</v>
      </c>
      <c r="AM17" s="197">
        <f t="shared" si="20"/>
        <v>0</v>
      </c>
      <c r="AN17" s="197">
        <f t="shared" si="20"/>
        <v>0</v>
      </c>
      <c r="AO17" s="197">
        <f t="shared" si="20"/>
        <v>0</v>
      </c>
      <c r="AP17" s="197">
        <f t="shared" si="20"/>
        <v>0</v>
      </c>
      <c r="AQ17" s="197">
        <f t="shared" si="20"/>
        <v>0</v>
      </c>
      <c r="AR17" s="197">
        <f t="shared" si="20"/>
        <v>0</v>
      </c>
      <c r="AS17" s="197">
        <f t="shared" si="20"/>
        <v>0</v>
      </c>
      <c r="AT17" s="197">
        <f t="shared" si="20"/>
        <v>0</v>
      </c>
      <c r="AU17" s="197">
        <f t="shared" si="20"/>
        <v>0</v>
      </c>
      <c r="AV17" s="197">
        <f t="shared" si="20"/>
        <v>0</v>
      </c>
      <c r="AW17" s="197">
        <f t="shared" si="20"/>
        <v>0</v>
      </c>
      <c r="AX17" s="197">
        <f t="shared" si="20"/>
        <v>0</v>
      </c>
      <c r="AY17" s="197">
        <f t="shared" si="20"/>
        <v>0</v>
      </c>
      <c r="AZ17" s="197">
        <f t="shared" si="20"/>
        <v>0</v>
      </c>
      <c r="BA17" s="197">
        <f t="shared" si="20"/>
        <v>0</v>
      </c>
      <c r="BB17" s="197">
        <f t="shared" si="20"/>
        <v>0</v>
      </c>
      <c r="BC17" s="197">
        <f t="shared" si="20"/>
        <v>0</v>
      </c>
      <c r="BD17" s="197">
        <f t="shared" si="20"/>
        <v>0</v>
      </c>
      <c r="BE17" s="197">
        <f t="shared" si="20"/>
        <v>0</v>
      </c>
      <c r="BF17" s="197">
        <f t="shared" si="20"/>
        <v>0</v>
      </c>
      <c r="BG17" s="197">
        <f t="shared" si="20"/>
        <v>0</v>
      </c>
      <c r="BH17" s="197">
        <f t="shared" si="20"/>
        <v>0</v>
      </c>
      <c r="BI17" s="197">
        <f t="shared" si="20"/>
        <v>0</v>
      </c>
      <c r="BJ17" s="197">
        <f t="shared" si="20"/>
        <v>0</v>
      </c>
      <c r="BK17" s="197">
        <f t="shared" si="20"/>
        <v>0</v>
      </c>
      <c r="BL17" s="197">
        <f t="shared" si="20"/>
        <v>0</v>
      </c>
      <c r="BM17" s="197">
        <f t="shared" si="20"/>
        <v>0</v>
      </c>
      <c r="BN17" s="197">
        <f t="shared" si="20"/>
        <v>0</v>
      </c>
      <c r="BO17" s="197">
        <f t="shared" si="20"/>
        <v>0</v>
      </c>
      <c r="BP17" s="197">
        <f t="shared" si="20"/>
        <v>0</v>
      </c>
      <c r="BQ17" s="404">
        <f t="shared" si="20"/>
        <v>1100000</v>
      </c>
    </row>
    <row r="18" spans="1:69" outlineLevel="1" x14ac:dyDescent="0.25">
      <c r="B18" s="284" t="str">
        <f>"Invest in "&amp;'Business Plan'!C46</f>
        <v>Invest in AI Tech</v>
      </c>
      <c r="C18" s="235">
        <f>-'Business Plan'!D113</f>
        <v>-4600000</v>
      </c>
      <c r="D18" s="285">
        <f>+'Business Plan'!D54</f>
        <v>9200000</v>
      </c>
      <c r="E18" s="200" t="s">
        <v>259</v>
      </c>
      <c r="F18" s="200"/>
      <c r="G18" s="236">
        <f>+'Business Plan'!D51</f>
        <v>45311</v>
      </c>
      <c r="H18" s="399">
        <f>+'Business Plan'!D52</f>
        <v>45626</v>
      </c>
      <c r="I18" s="246">
        <f t="shared" ref="I18:I21" si="21">SUM(J18:BQ18)</f>
        <v>4600000</v>
      </c>
      <c r="J18" s="403">
        <f t="shared" ref="J18:J19" si="22">IF(AND($H18&lt;=J$16,$H18&gt;I$16),$D18,IF(AND($G18&lt;=J$16,$G18&gt;I$16),$C18,0))+IF($H$17=J17,D18,0)</f>
        <v>-4600000</v>
      </c>
      <c r="K18" s="197">
        <f t="shared" ref="K18:K19" si="23">IF(AND($H18&lt;=K$16,$H18&gt;J$16),$D18,IF(AND($G18&lt;=K$16,$G18&gt;J$16),$C18,0))+IF($H$17=K17,E18,0)</f>
        <v>0</v>
      </c>
      <c r="L18" s="197">
        <f t="shared" ref="L18:L19" si="24">IF(AND($H18&lt;=L$16,$H18&gt;K$16),$D18,IF(AND($G18&lt;=L$16,$G18&gt;K$16),$C18,0))+IF($H$17=L17,F18,0)</f>
        <v>0</v>
      </c>
      <c r="M18" s="197">
        <f t="shared" ref="M18:M19" si="25">IF(AND($H18&lt;=M$16,$H18&gt;L$16),$D18,IF(AND($G18&lt;=M$16,$G18&gt;L$16),$C18,0))+IF($H$17=M17,G18,0)</f>
        <v>0</v>
      </c>
      <c r="N18" s="197">
        <f t="shared" ref="N18:N19" si="26">IF(AND($H18&lt;=N$16,$H18&gt;M$16),$D18,IF(AND($G18&lt;=N$16,$G18&gt;M$16),$C18,0))+IF($H$17=N17,H18,0)</f>
        <v>0</v>
      </c>
      <c r="O18" s="197">
        <f t="shared" ref="O18:O19" si="27">IF(AND($H18&lt;=O$16,$H18&gt;N$16),$D18,IF(AND($G18&lt;=O$16,$G18&gt;N$16),$C18,0))+IF($H$17=O17,I18,0)</f>
        <v>0</v>
      </c>
      <c r="P18" s="197">
        <f t="shared" ref="P18:P19" si="28">IF(AND($H18&lt;=P$16,$H18&gt;O$16),$D18,IF(AND($G18&lt;=P$16,$G18&gt;O$16),$C18,0))+IF($H$17=P17,J18,0)</f>
        <v>0</v>
      </c>
      <c r="Q18" s="197">
        <f t="shared" ref="Q18:Q19" si="29">IF(AND($H18&lt;=Q$16,$H18&gt;P$16),$D18,IF(AND($G18&lt;=Q$16,$G18&gt;P$16),$C18,0))+IF($H$17=Q17,K18,0)</f>
        <v>0</v>
      </c>
      <c r="R18" s="197">
        <f t="shared" ref="R18:R19" si="30">IF(AND($H18&lt;=R$16,$H18&gt;Q$16),$D18,IF(AND($G18&lt;=R$16,$G18&gt;Q$16),$C18,0))+IF($H$17=R17,L18,0)</f>
        <v>0</v>
      </c>
      <c r="S18" s="197">
        <f t="shared" ref="S18:S19" si="31">IF(AND($H18&lt;=S$16,$H18&gt;R$16),$D18,IF(AND($G18&lt;=S$16,$G18&gt;R$16),$C18,0))+IF($H$17=S17,M18,0)</f>
        <v>0</v>
      </c>
      <c r="T18" s="197">
        <f t="shared" ref="T18:T19" si="32">IF(AND($H18&lt;=T$16,$H18&gt;S$16),$D18,IF(AND($G18&lt;=T$16,$G18&gt;S$16),$C18,0))+IF($H$17=T17,N18,0)</f>
        <v>9200000</v>
      </c>
      <c r="U18" s="197">
        <f t="shared" ref="U18:U19" si="33">IF(AND($H18&lt;=U$16,$H18&gt;T$16),$D18,IF(AND($G18&lt;=U$16,$G18&gt;T$16),$C18,0))+IF($H$17=U17,O18,0)</f>
        <v>0</v>
      </c>
      <c r="V18" s="197">
        <f t="shared" ref="V18:V19" si="34">IF(AND($H18&lt;=V$16,$H18&gt;U$16),$D18,IF(AND($G18&lt;=V$16,$G18&gt;U$16),$C18,0))+IF($H$17=V17,P18,0)</f>
        <v>0</v>
      </c>
      <c r="W18" s="197">
        <f t="shared" ref="W18:W19" si="35">IF(AND($H18&lt;=W$16,$H18&gt;V$16),$D18,IF(AND($G18&lt;=W$16,$G18&gt;V$16),$C18,0))+IF($H$17=W17,Q18,0)</f>
        <v>0</v>
      </c>
      <c r="X18" s="197">
        <f t="shared" ref="X18:X19" si="36">IF(AND($H18&lt;=X$16,$H18&gt;W$16),$D18,IF(AND($G18&lt;=X$16,$G18&gt;W$16),$C18,0))+IF($H$17=X17,R18,0)</f>
        <v>0</v>
      </c>
      <c r="Y18" s="197">
        <f t="shared" ref="Y18:Y19" si="37">IF(AND($H18&lt;=Y$16,$H18&gt;X$16),$D18,IF(AND($G18&lt;=Y$16,$G18&gt;X$16),$C18,0))+IF($H$17=Y17,S18,0)</f>
        <v>0</v>
      </c>
      <c r="Z18" s="197">
        <f t="shared" ref="Z18:Z19" si="38">IF(AND($H18&lt;=Z$16,$H18&gt;Y$16),$D18,IF(AND($G18&lt;=Z$16,$G18&gt;Y$16),$C18,0))+IF($H$17=Z17,T18,0)</f>
        <v>0</v>
      </c>
      <c r="AA18" s="197">
        <f t="shared" ref="AA18:AA19" si="39">IF(AND($H18&lt;=AA$16,$H18&gt;Z$16),$D18,IF(AND($G18&lt;=AA$16,$G18&gt;Z$16),$C18,0))+IF($H$17=AA17,U18,0)</f>
        <v>0</v>
      </c>
      <c r="AB18" s="197">
        <f t="shared" ref="AB18:AB19" si="40">IF(AND($H18&lt;=AB$16,$H18&gt;AA$16),$D18,IF(AND($G18&lt;=AB$16,$G18&gt;AA$16),$C18,0))+IF($H$17=AB17,V18,0)</f>
        <v>0</v>
      </c>
      <c r="AC18" s="197">
        <f t="shared" ref="AC18:AC19" si="41">IF(AND($H18&lt;=AC$16,$H18&gt;AB$16),$D18,IF(AND($G18&lt;=AC$16,$G18&gt;AB$16),$C18,0))+IF($H$17=AC17,W18,0)</f>
        <v>0</v>
      </c>
      <c r="AD18" s="197">
        <f t="shared" ref="AD18:AD19" si="42">IF(AND($H18&lt;=AD$16,$H18&gt;AC$16),$D18,IF(AND($G18&lt;=AD$16,$G18&gt;AC$16),$C18,0))+IF($H$17=AD17,X18,0)</f>
        <v>0</v>
      </c>
      <c r="AE18" s="197">
        <f t="shared" ref="AE18:AE19" si="43">IF(AND($H18&lt;=AE$16,$H18&gt;AD$16),$D18,IF(AND($G18&lt;=AE$16,$G18&gt;AD$16),$C18,0))+IF($H$17=AE17,Y18,0)</f>
        <v>0</v>
      </c>
      <c r="AF18" s="197">
        <f t="shared" ref="AF18:AF19" si="44">IF(AND($H18&lt;=AF$16,$H18&gt;AE$16),$D18,IF(AND($G18&lt;=AF$16,$G18&gt;AE$16),$C18,0))+IF($H$17=AF17,Z18,0)</f>
        <v>0</v>
      </c>
      <c r="AG18" s="197">
        <f t="shared" ref="AG18:AG19" si="45">IF(AND($H18&lt;=AG$16,$H18&gt;AF$16),$D18,IF(AND($G18&lt;=AG$16,$G18&gt;AF$16),$C18,0))+IF($H$17=AG17,AA18,0)</f>
        <v>0</v>
      </c>
      <c r="AH18" s="197">
        <f t="shared" ref="AH18:AH19" si="46">IF(AND($H18&lt;=AH$16,$H18&gt;AG$16),$D18,IF(AND($G18&lt;=AH$16,$G18&gt;AG$16),$C18,0))+IF($H$17=AH17,AB18,0)</f>
        <v>0</v>
      </c>
      <c r="AI18" s="197">
        <f t="shared" ref="AI18:AI19" si="47">IF(AND($H18&lt;=AI$16,$H18&gt;AH$16),$D18,IF(AND($G18&lt;=AI$16,$G18&gt;AH$16),$C18,0))+IF($H$17=AI17,AC18,0)</f>
        <v>0</v>
      </c>
      <c r="AJ18" s="197">
        <f t="shared" ref="AJ18:AJ19" si="48">IF(AND($H18&lt;=AJ$16,$H18&gt;AI$16),$D18,IF(AND($G18&lt;=AJ$16,$G18&gt;AI$16),$C18,0))+IF($H$17=AJ17,AD18,0)</f>
        <v>0</v>
      </c>
      <c r="AK18" s="197">
        <f t="shared" ref="AK18:AK19" si="49">IF(AND($H18&lt;=AK$16,$H18&gt;AJ$16),$D18,IF(AND($G18&lt;=AK$16,$G18&gt;AJ$16),$C18,0))+IF($H$17=AK17,AE18,0)</f>
        <v>0</v>
      </c>
      <c r="AL18" s="197">
        <f t="shared" ref="AL18:AL19" si="50">IF(AND($H18&lt;=AL$16,$H18&gt;AK$16),$D18,IF(AND($G18&lt;=AL$16,$G18&gt;AK$16),$C18,0))+IF($H$17=AL17,AF18,0)</f>
        <v>0</v>
      </c>
      <c r="AM18" s="197">
        <f t="shared" ref="AM18:AM19" si="51">IF(AND($H18&lt;=AM$16,$H18&gt;AL$16),$D18,IF(AND($G18&lt;=AM$16,$G18&gt;AL$16),$C18,0))+IF($H$17=AM17,AG18,0)</f>
        <v>0</v>
      </c>
      <c r="AN18" s="197">
        <f t="shared" ref="AN18:AN19" si="52">IF(AND($H18&lt;=AN$16,$H18&gt;AM$16),$D18,IF(AND($G18&lt;=AN$16,$G18&gt;AM$16),$C18,0))+IF($H$17=AN17,AH18,0)</f>
        <v>0</v>
      </c>
      <c r="AO18" s="197">
        <f t="shared" ref="AO18:AO19" si="53">IF(AND($H18&lt;=AO$16,$H18&gt;AN$16),$D18,IF(AND($G18&lt;=AO$16,$G18&gt;AN$16),$C18,0))+IF($H$17=AO17,AI18,0)</f>
        <v>0</v>
      </c>
      <c r="AP18" s="197">
        <f t="shared" ref="AP18:AP19" si="54">IF(AND($H18&lt;=AP$16,$H18&gt;AO$16),$D18,IF(AND($G18&lt;=AP$16,$G18&gt;AO$16),$C18,0))+IF($H$17=AP17,AJ18,0)</f>
        <v>0</v>
      </c>
      <c r="AQ18" s="197">
        <f t="shared" ref="AQ18:AQ19" si="55">IF(AND($H18&lt;=AQ$16,$H18&gt;AP$16),$D18,IF(AND($G18&lt;=AQ$16,$G18&gt;AP$16),$C18,0))+IF($H$17=AQ17,AK18,0)</f>
        <v>0</v>
      </c>
      <c r="AR18" s="197">
        <f t="shared" ref="AR18:AR19" si="56">IF(AND($H18&lt;=AR$16,$H18&gt;AQ$16),$D18,IF(AND($G18&lt;=AR$16,$G18&gt;AQ$16),$C18,0))+IF($H$17=AR17,AL18,0)</f>
        <v>0</v>
      </c>
      <c r="AS18" s="197">
        <f t="shared" ref="AS18:AS19" si="57">IF(AND($H18&lt;=AS$16,$H18&gt;AR$16),$D18,IF(AND($G18&lt;=AS$16,$G18&gt;AR$16),$C18,0))+IF($H$17=AS17,AM18,0)</f>
        <v>0</v>
      </c>
      <c r="AT18" s="197">
        <f t="shared" ref="AT18:AT19" si="58">IF(AND($H18&lt;=AT$16,$H18&gt;AS$16),$D18,IF(AND($G18&lt;=AT$16,$G18&gt;AS$16),$C18,0))+IF($H$17=AT17,AN18,0)</f>
        <v>0</v>
      </c>
      <c r="AU18" s="197">
        <f t="shared" ref="AU18:AU19" si="59">IF(AND($H18&lt;=AU$16,$H18&gt;AT$16),$D18,IF(AND($G18&lt;=AU$16,$G18&gt;AT$16),$C18,0))+IF($H$17=AU17,AO18,0)</f>
        <v>0</v>
      </c>
      <c r="AV18" s="197">
        <f t="shared" ref="AV18:AV19" si="60">IF(AND($H18&lt;=AV$16,$H18&gt;AU$16),$D18,IF(AND($G18&lt;=AV$16,$G18&gt;AU$16),$C18,0))+IF($H$17=AV17,AP18,0)</f>
        <v>0</v>
      </c>
      <c r="AW18" s="197">
        <f t="shared" ref="AW18:AW19" si="61">IF(AND($H18&lt;=AW$16,$H18&gt;AV$16),$D18,IF(AND($G18&lt;=AW$16,$G18&gt;AV$16),$C18,0))+IF($H$17=AW17,AQ18,0)</f>
        <v>0</v>
      </c>
      <c r="AX18" s="197">
        <f t="shared" ref="AX18:AX19" si="62">IF(AND($H18&lt;=AX$16,$H18&gt;AW$16),$D18,IF(AND($G18&lt;=AX$16,$G18&gt;AW$16),$C18,0))+IF($H$17=AX17,AR18,0)</f>
        <v>0</v>
      </c>
      <c r="AY18" s="197">
        <f t="shared" ref="AY18:AY19" si="63">IF(AND($H18&lt;=AY$16,$H18&gt;AX$16),$D18,IF(AND($G18&lt;=AY$16,$G18&gt;AX$16),$C18,0))+IF($H$17=AY17,AS18,0)</f>
        <v>0</v>
      </c>
      <c r="AZ18" s="197">
        <f t="shared" ref="AZ18:AZ19" si="64">IF(AND($H18&lt;=AZ$16,$H18&gt;AY$16),$D18,IF(AND($G18&lt;=AZ$16,$G18&gt;AY$16),$C18,0))+IF($H$17=AZ17,AT18,0)</f>
        <v>0</v>
      </c>
      <c r="BA18" s="197">
        <f t="shared" ref="BA18:BA19" si="65">IF(AND($H18&lt;=BA$16,$H18&gt;AZ$16),$D18,IF(AND($G18&lt;=BA$16,$G18&gt;AZ$16),$C18,0))+IF($H$17=BA17,AU18,0)</f>
        <v>0</v>
      </c>
      <c r="BB18" s="197">
        <f t="shared" ref="BB18:BB19" si="66">IF(AND($H18&lt;=BB$16,$H18&gt;BA$16),$D18,IF(AND($G18&lt;=BB$16,$G18&gt;BA$16),$C18,0))+IF($H$17=BB17,AV18,0)</f>
        <v>0</v>
      </c>
      <c r="BC18" s="197">
        <f t="shared" ref="BC18:BC19" si="67">IF(AND($H18&lt;=BC$16,$H18&gt;BB$16),$D18,IF(AND($G18&lt;=BC$16,$G18&gt;BB$16),$C18,0))+IF($H$17=BC17,AW18,0)</f>
        <v>0</v>
      </c>
      <c r="BD18" s="197">
        <f t="shared" ref="BD18:BD19" si="68">IF(AND($H18&lt;=BD$16,$H18&gt;BC$16),$D18,IF(AND($G18&lt;=BD$16,$G18&gt;BC$16),$C18,0))+IF($H$17=BD17,AX18,0)</f>
        <v>0</v>
      </c>
      <c r="BE18" s="197">
        <f t="shared" ref="BE18:BE19" si="69">IF(AND($H18&lt;=BE$16,$H18&gt;BD$16),$D18,IF(AND($G18&lt;=BE$16,$G18&gt;BD$16),$C18,0))+IF($H$17=BE17,AY18,0)</f>
        <v>0</v>
      </c>
      <c r="BF18" s="197">
        <f t="shared" ref="BF18:BF19" si="70">IF(AND($H18&lt;=BF$16,$H18&gt;BE$16),$D18,IF(AND($G18&lt;=BF$16,$G18&gt;BE$16),$C18,0))+IF($H$17=BF17,AZ18,0)</f>
        <v>0</v>
      </c>
      <c r="BG18" s="197">
        <f t="shared" ref="BG18:BG19" si="71">IF(AND($H18&lt;=BG$16,$H18&gt;BF$16),$D18,IF(AND($G18&lt;=BG$16,$G18&gt;BF$16),$C18,0))+IF($H$17=BG17,BA18,0)</f>
        <v>0</v>
      </c>
      <c r="BH18" s="197">
        <f t="shared" ref="BH18:BH19" si="72">IF(AND($H18&lt;=BH$16,$H18&gt;BG$16),$D18,IF(AND($G18&lt;=BH$16,$G18&gt;BG$16),$C18,0))+IF($H$17=BH17,BB18,0)</f>
        <v>0</v>
      </c>
      <c r="BI18" s="197">
        <f t="shared" ref="BI18:BI19" si="73">IF(AND($H18&lt;=BI$16,$H18&gt;BH$16),$D18,IF(AND($G18&lt;=BI$16,$G18&gt;BH$16),$C18,0))+IF($H$17=BI17,BC18,0)</f>
        <v>0</v>
      </c>
      <c r="BJ18" s="197">
        <f t="shared" ref="BJ18:BJ19" si="74">IF(AND($H18&lt;=BJ$16,$H18&gt;BI$16),$D18,IF(AND($G18&lt;=BJ$16,$G18&gt;BI$16),$C18,0))+IF($H$17=BJ17,BD18,0)</f>
        <v>0</v>
      </c>
      <c r="BK18" s="197">
        <f t="shared" ref="BK18:BK19" si="75">IF(AND($H18&lt;=BK$16,$H18&gt;BJ$16),$D18,IF(AND($G18&lt;=BK$16,$G18&gt;BJ$16),$C18,0))+IF($H$17=BK17,BE18,0)</f>
        <v>0</v>
      </c>
      <c r="BL18" s="197">
        <f t="shared" ref="BL18:BL19" si="76">IF(AND($H18&lt;=BL$16,$H18&gt;BK$16),$D18,IF(AND($G18&lt;=BL$16,$G18&gt;BK$16),$C18,0))+IF($H$17=BL17,BF18,0)</f>
        <v>0</v>
      </c>
      <c r="BM18" s="197">
        <f t="shared" ref="BM18:BM19" si="77">IF(AND($H18&lt;=BM$16,$H18&gt;BL$16),$D18,IF(AND($G18&lt;=BM$16,$G18&gt;BL$16),$C18,0))+IF($H$17=BM17,BG18,0)</f>
        <v>0</v>
      </c>
      <c r="BN18" s="197">
        <f t="shared" ref="BN18:BN19" si="78">IF(AND($H18&lt;=BN$16,$H18&gt;BM$16),$D18,IF(AND($G18&lt;=BN$16,$G18&gt;BM$16),$C18,0))+IF($H$17=BN17,BH18,0)</f>
        <v>0</v>
      </c>
      <c r="BO18" s="197">
        <f t="shared" ref="BO18:BO19" si="79">IF(AND($H18&lt;=BO$16,$H18&gt;BN$16),$D18,IF(AND($G18&lt;=BO$16,$G18&gt;BN$16),$C18,0))+IF($H$17=BO17,BI18,0)</f>
        <v>0</v>
      </c>
      <c r="BP18" s="197">
        <f t="shared" ref="BP18:BP19" si="80">IF(AND($H18&lt;=BP$16,$H18&gt;BO$16),$D18,IF(AND($G18&lt;=BP$16,$G18&gt;BO$16),$C18,0))+IF($H$17=BP17,BJ18,0)</f>
        <v>0</v>
      </c>
      <c r="BQ18" s="404">
        <f t="shared" ref="BQ18:BQ19" si="81">IF(AND($H18&lt;=BQ$16,$H18&gt;BP$16),$D18,IF(AND($G18&lt;=BQ$16,$G18&gt;BP$16),$C18,0))+IF($H$17=BQ17,BK18,0)</f>
        <v>0</v>
      </c>
    </row>
    <row r="19" spans="1:69" ht="31.5" outlineLevel="1" x14ac:dyDescent="0.25">
      <c r="B19" s="284" t="str">
        <f>"Equity investment in "&amp;'Business Plan'!C58</f>
        <v>Equity investment in E-commerce</v>
      </c>
      <c r="C19" s="235">
        <f>-'Business Plan'!D62</f>
        <v>-4000000</v>
      </c>
      <c r="D19" s="285">
        <f>+'Business Plan'!D73</f>
        <v>12000000</v>
      </c>
      <c r="E19" s="200" t="s">
        <v>259</v>
      </c>
      <c r="F19" s="200"/>
      <c r="G19" s="236">
        <f>+'Business Plan'!D67</f>
        <v>45413</v>
      </c>
      <c r="H19" s="287">
        <f>+'Business Plan'!D68</f>
        <v>46538</v>
      </c>
      <c r="I19" s="246">
        <f t="shared" si="21"/>
        <v>8000000</v>
      </c>
      <c r="J19" s="403">
        <f t="shared" si="22"/>
        <v>0</v>
      </c>
      <c r="K19" s="197">
        <f t="shared" si="23"/>
        <v>0</v>
      </c>
      <c r="L19" s="197">
        <f t="shared" si="24"/>
        <v>0</v>
      </c>
      <c r="M19" s="197">
        <f t="shared" si="25"/>
        <v>0</v>
      </c>
      <c r="N19" s="197">
        <f t="shared" si="26"/>
        <v>-4000000</v>
      </c>
      <c r="O19" s="197">
        <f t="shared" si="27"/>
        <v>0</v>
      </c>
      <c r="P19" s="197">
        <f t="shared" si="28"/>
        <v>0</v>
      </c>
      <c r="Q19" s="197">
        <f t="shared" si="29"/>
        <v>0</v>
      </c>
      <c r="R19" s="197">
        <f t="shared" si="30"/>
        <v>0</v>
      </c>
      <c r="S19" s="197">
        <f t="shared" si="31"/>
        <v>0</v>
      </c>
      <c r="T19" s="197">
        <f t="shared" si="32"/>
        <v>0</v>
      </c>
      <c r="U19" s="197">
        <f t="shared" si="33"/>
        <v>0</v>
      </c>
      <c r="V19" s="197">
        <f t="shared" si="34"/>
        <v>0</v>
      </c>
      <c r="W19" s="197">
        <f t="shared" si="35"/>
        <v>0</v>
      </c>
      <c r="X19" s="197">
        <f t="shared" si="36"/>
        <v>0</v>
      </c>
      <c r="Y19" s="197">
        <f t="shared" si="37"/>
        <v>0</v>
      </c>
      <c r="Z19" s="197">
        <f t="shared" si="38"/>
        <v>0</v>
      </c>
      <c r="AA19" s="197">
        <f t="shared" si="39"/>
        <v>0</v>
      </c>
      <c r="AB19" s="197">
        <f t="shared" si="40"/>
        <v>0</v>
      </c>
      <c r="AC19" s="197">
        <f t="shared" si="41"/>
        <v>0</v>
      </c>
      <c r="AD19" s="197">
        <f t="shared" si="42"/>
        <v>0</v>
      </c>
      <c r="AE19" s="197">
        <f t="shared" si="43"/>
        <v>0</v>
      </c>
      <c r="AF19" s="197">
        <f t="shared" si="44"/>
        <v>0</v>
      </c>
      <c r="AG19" s="197">
        <f t="shared" si="45"/>
        <v>0</v>
      </c>
      <c r="AH19" s="197">
        <f t="shared" si="46"/>
        <v>0</v>
      </c>
      <c r="AI19" s="197">
        <f t="shared" si="47"/>
        <v>0</v>
      </c>
      <c r="AJ19" s="197">
        <f t="shared" si="48"/>
        <v>0</v>
      </c>
      <c r="AK19" s="197">
        <f t="shared" si="49"/>
        <v>0</v>
      </c>
      <c r="AL19" s="197">
        <f t="shared" si="50"/>
        <v>0</v>
      </c>
      <c r="AM19" s="197">
        <f t="shared" si="51"/>
        <v>0</v>
      </c>
      <c r="AN19" s="197">
        <f t="shared" si="52"/>
        <v>0</v>
      </c>
      <c r="AO19" s="197">
        <f t="shared" si="53"/>
        <v>0</v>
      </c>
      <c r="AP19" s="197">
        <f t="shared" si="54"/>
        <v>0</v>
      </c>
      <c r="AQ19" s="197">
        <f t="shared" si="55"/>
        <v>0</v>
      </c>
      <c r="AR19" s="197">
        <f t="shared" si="56"/>
        <v>0</v>
      </c>
      <c r="AS19" s="197">
        <f t="shared" si="57"/>
        <v>0</v>
      </c>
      <c r="AT19" s="197">
        <f t="shared" si="58"/>
        <v>0</v>
      </c>
      <c r="AU19" s="197">
        <f t="shared" si="59"/>
        <v>0</v>
      </c>
      <c r="AV19" s="197">
        <f t="shared" si="60"/>
        <v>0</v>
      </c>
      <c r="AW19" s="197">
        <f t="shared" si="61"/>
        <v>0</v>
      </c>
      <c r="AX19" s="197">
        <f t="shared" si="62"/>
        <v>12000000</v>
      </c>
      <c r="AY19" s="197">
        <f t="shared" si="63"/>
        <v>0</v>
      </c>
      <c r="AZ19" s="197">
        <f t="shared" si="64"/>
        <v>0</v>
      </c>
      <c r="BA19" s="197">
        <f t="shared" si="65"/>
        <v>0</v>
      </c>
      <c r="BB19" s="197">
        <f t="shared" si="66"/>
        <v>0</v>
      </c>
      <c r="BC19" s="197">
        <f t="shared" si="67"/>
        <v>0</v>
      </c>
      <c r="BD19" s="197">
        <f t="shared" si="68"/>
        <v>0</v>
      </c>
      <c r="BE19" s="197">
        <f t="shared" si="69"/>
        <v>0</v>
      </c>
      <c r="BF19" s="197">
        <f t="shared" si="70"/>
        <v>0</v>
      </c>
      <c r="BG19" s="197">
        <f t="shared" si="71"/>
        <v>0</v>
      </c>
      <c r="BH19" s="197">
        <f t="shared" si="72"/>
        <v>0</v>
      </c>
      <c r="BI19" s="197">
        <f t="shared" si="73"/>
        <v>0</v>
      </c>
      <c r="BJ19" s="197">
        <f t="shared" si="74"/>
        <v>0</v>
      </c>
      <c r="BK19" s="197">
        <f t="shared" si="75"/>
        <v>0</v>
      </c>
      <c r="BL19" s="197">
        <f t="shared" si="76"/>
        <v>0</v>
      </c>
      <c r="BM19" s="197">
        <f t="shared" si="77"/>
        <v>0</v>
      </c>
      <c r="BN19" s="197">
        <f t="shared" si="78"/>
        <v>0</v>
      </c>
      <c r="BO19" s="197">
        <f t="shared" si="79"/>
        <v>0</v>
      </c>
      <c r="BP19" s="197">
        <f t="shared" si="80"/>
        <v>0</v>
      </c>
      <c r="BQ19" s="404">
        <f t="shared" si="81"/>
        <v>0</v>
      </c>
    </row>
    <row r="20" spans="1:69" ht="31.5" outlineLevel="1" x14ac:dyDescent="0.25">
      <c r="B20" s="284" t="str">
        <f>"Debt investment in "&amp;'Business Plan'!C58</f>
        <v>Debt investment in E-commerce</v>
      </c>
      <c r="C20" s="235">
        <f>-'Business Plan'!D63</f>
        <v>-2000000</v>
      </c>
      <c r="D20" s="289">
        <v>0</v>
      </c>
      <c r="E20" s="200" t="str">
        <f>'Business Plan'!C58&amp;" Principal"</f>
        <v>E-commerce Principal</v>
      </c>
      <c r="F20" s="198" t="s">
        <v>406</v>
      </c>
      <c r="G20" s="236">
        <f>+G19</f>
        <v>45413</v>
      </c>
      <c r="H20" s="287">
        <f>+H19</f>
        <v>46538</v>
      </c>
      <c r="I20" s="246">
        <f t="shared" si="21"/>
        <v>1.4551915228366852E-10</v>
      </c>
      <c r="J20" s="405">
        <f>_xlfn.IFNA(VLOOKUP(J16,'E-Commerce Loan'!$D$16:$H$52,5,0),0)</f>
        <v>0</v>
      </c>
      <c r="K20" s="218">
        <f>_xlfn.IFNA(VLOOKUP(K16,'E-Commerce Loan'!$D$16:$H$52,5,0),0)+IF(K16=EOMONTH($G20,0),$C20,0)</f>
        <v>0</v>
      </c>
      <c r="L20" s="218">
        <f>_xlfn.IFNA(VLOOKUP(L16,'E-Commerce Loan'!$D$16:$H$52,5,0),0)+IF(L16=EOMONTH($G20,0),$C20,0)</f>
        <v>0</v>
      </c>
      <c r="M20" s="218">
        <f>_xlfn.IFNA(VLOOKUP(M16,'E-Commerce Loan'!$D$16:$H$52,5,0),0)+IF(M16=EOMONTH($G20,0),$C20,0)</f>
        <v>0</v>
      </c>
      <c r="N20" s="218">
        <f>_xlfn.IFNA(VLOOKUP(N16,'E-Commerce Loan'!$D$16:$H$52,5,0),0)+IF(N16=EOMONTH($G20,0),$C20,0)</f>
        <v>-2000000</v>
      </c>
      <c r="O20" s="218">
        <f>_xlfn.IFNA(VLOOKUP(O16,'E-Commerce Loan'!$D$16:$H$52,5,0),0)+IF(O16=EOMONTH($G20,0),$C20,0)</f>
        <v>49339.397589528366</v>
      </c>
      <c r="P20" s="218">
        <f>_xlfn.IFNA(VLOOKUP(P16,'E-Commerce Loan'!$D$16:$H$52,5,0),0)+IF(P16=EOMONTH($G20,0),$C20,0)</f>
        <v>49668.326906791888</v>
      </c>
      <c r="Q20" s="218">
        <f>_xlfn.IFNA(VLOOKUP(Q16,'E-Commerce Loan'!$D$16:$H$52,5,0),0)+IF(Q16=EOMONTH($G20,0),$C20,0)</f>
        <v>49999.449086170505</v>
      </c>
      <c r="R20" s="218">
        <f>_xlfn.IFNA(VLOOKUP(R16,'E-Commerce Loan'!$D$16:$H$52,5,0),0)+IF(R16=EOMONTH($G20,0),$C20,0)</f>
        <v>50332.778746744974</v>
      </c>
      <c r="S20" s="218">
        <f>_xlfn.IFNA(VLOOKUP(S16,'E-Commerce Loan'!$D$16:$H$52,5,0),0)+IF(S16=EOMONTH($G20,0),$C20,0)</f>
        <v>50668.33060505661</v>
      </c>
      <c r="T20" s="218">
        <f>_xlfn.IFNA(VLOOKUP(T16,'E-Commerce Loan'!$D$16:$H$52,5,0),0)+IF(T16=EOMONTH($G20,0),$C20,0)</f>
        <v>51006.119475756983</v>
      </c>
      <c r="U20" s="218">
        <f>_xlfn.IFNA(VLOOKUP(U16,'E-Commerce Loan'!$D$16:$H$52,5,0),0)+IF(U16=EOMONTH($G20,0),$C20,0)</f>
        <v>51346.16027226203</v>
      </c>
      <c r="V20" s="218">
        <f>_xlfn.IFNA(VLOOKUP(V16,'E-Commerce Loan'!$D$16:$H$52,5,0),0)+IF(V16=EOMONTH($G20,0),$C20,0)</f>
        <v>51688.468007410447</v>
      </c>
      <c r="W20" s="218">
        <f>_xlfn.IFNA(VLOOKUP(W16,'E-Commerce Loan'!$D$16:$H$52,5,0),0)+IF(W16=EOMONTH($G20,0),$C20,0)</f>
        <v>52033.057794126515</v>
      </c>
      <c r="X20" s="218">
        <f>_xlfn.IFNA(VLOOKUP(X16,'E-Commerce Loan'!$D$16:$H$52,5,0),0)+IF(X16=EOMONTH($G20,0),$C20,0)</f>
        <v>52379.944846087354</v>
      </c>
      <c r="Y20" s="218">
        <f>_xlfn.IFNA(VLOOKUP(Y16,'E-Commerce Loan'!$D$16:$H$52,5,0),0)+IF(Y16=EOMONTH($G20,0),$C20,0)</f>
        <v>52729.144478394606</v>
      </c>
      <c r="Z20" s="218">
        <f>_xlfn.IFNA(VLOOKUP(Z16,'E-Commerce Loan'!$D$16:$H$52,5,0),0)+IF(Z16=EOMONTH($G20,0),$C20,0)</f>
        <v>53080.672108250568</v>
      </c>
      <c r="AA20" s="218">
        <f>_xlfn.IFNA(VLOOKUP(AA16,'E-Commerce Loan'!$D$16:$H$52,5,0),0)+IF(AA16=EOMONTH($G20,0),$C20,0)</f>
        <v>53434.543255638906</v>
      </c>
      <c r="AB20" s="218">
        <f>_xlfn.IFNA(VLOOKUP(AB16,'E-Commerce Loan'!$D$16:$H$52,5,0),0)+IF(AB16=EOMONTH($G20,0),$C20,0)</f>
        <v>53790.773544009833</v>
      </c>
      <c r="AC20" s="218">
        <f>_xlfn.IFNA(VLOOKUP(AC16,'E-Commerce Loan'!$D$16:$H$52,5,0),0)+IF(AC16=EOMONTH($G20,0),$C20,0)</f>
        <v>54149.378700969901</v>
      </c>
      <c r="AD20" s="218">
        <f>_xlfn.IFNA(VLOOKUP(AD16,'E-Commerce Loan'!$D$16:$H$52,5,0),0)+IF(AD16=EOMONTH($G20,0),$C20,0)</f>
        <v>54510.374558976364</v>
      </c>
      <c r="AE20" s="218">
        <f>_xlfn.IFNA(VLOOKUP(AE16,'E-Commerce Loan'!$D$16:$H$52,5,0),0)+IF(AE16=EOMONTH($G20,0),$C20,0)</f>
        <v>54873.777056036211</v>
      </c>
      <c r="AF20" s="218">
        <f>_xlfn.IFNA(VLOOKUP(AF16,'E-Commerce Loan'!$D$16:$H$52,5,0),0)+IF(AF16=EOMONTH($G20,0),$C20,0)</f>
        <v>55239.602236409781</v>
      </c>
      <c r="AG20" s="218">
        <f>_xlfn.IFNA(VLOOKUP(AG16,'E-Commerce Loan'!$D$16:$H$52,5,0),0)+IF(AG16=EOMONTH($G20,0),$C20,0)</f>
        <v>55607.866251319181</v>
      </c>
      <c r="AH20" s="218">
        <f>_xlfn.IFNA(VLOOKUP(AH16,'E-Commerce Loan'!$D$16:$H$52,5,0),0)+IF(AH16=EOMONTH($G20,0),$C20,0)</f>
        <v>55978.585359661309</v>
      </c>
      <c r="AI20" s="218">
        <f>_xlfn.IFNA(VLOOKUP(AI16,'E-Commerce Loan'!$D$16:$H$52,5,0),0)+IF(AI16=EOMONTH($G20,0),$C20,0)</f>
        <v>56351.775928725721</v>
      </c>
      <c r="AJ20" s="218">
        <f>_xlfn.IFNA(VLOOKUP(AJ16,'E-Commerce Loan'!$D$16:$H$52,5,0),0)+IF(AJ16=EOMONTH($G20,0),$C20,0)</f>
        <v>56727.454434917221</v>
      </c>
      <c r="AK20" s="218">
        <f>_xlfn.IFNA(VLOOKUP(AK16,'E-Commerce Loan'!$D$16:$H$52,5,0),0)+IF(AK16=EOMONTH($G20,0),$C20,0)</f>
        <v>57105.637464483334</v>
      </c>
      <c r="AL20" s="218">
        <f>_xlfn.IFNA(VLOOKUP(AL16,'E-Commerce Loan'!$D$16:$H$52,5,0),0)+IF(AL16=EOMONTH($G20,0),$C20,0)</f>
        <v>57486.341714246562</v>
      </c>
      <c r="AM20" s="218">
        <f>_xlfn.IFNA(VLOOKUP(AM16,'E-Commerce Loan'!$D$16:$H$52,5,0),0)+IF(AM16=EOMONTH($G20,0),$C20,0)</f>
        <v>57869.583992341533</v>
      </c>
      <c r="AN20" s="218">
        <f>_xlfn.IFNA(VLOOKUP(AN16,'E-Commerce Loan'!$D$16:$H$52,5,0),0)+IF(AN16=EOMONTH($G20,0),$C20,0)</f>
        <v>58255.381218957147</v>
      </c>
      <c r="AO20" s="218">
        <f>_xlfn.IFNA(VLOOKUP(AO16,'E-Commerce Loan'!$D$16:$H$52,5,0),0)+IF(AO16=EOMONTH($G20,0),$C20,0)</f>
        <v>58643.750427083527</v>
      </c>
      <c r="AP20" s="218">
        <f>_xlfn.IFNA(VLOOKUP(AP16,'E-Commerce Loan'!$D$16:$H$52,5,0),0)+IF(AP16=EOMONTH($G20,0),$C20,0)</f>
        <v>59034.708763264083</v>
      </c>
      <c r="AQ20" s="218">
        <f>_xlfn.IFNA(VLOOKUP(AQ16,'E-Commerce Loan'!$D$16:$H$52,5,0),0)+IF(AQ16=EOMONTH($G20,0),$C20,0)</f>
        <v>59428.273488352512</v>
      </c>
      <c r="AR20" s="218">
        <f>_xlfn.IFNA(VLOOKUP(AR16,'E-Commerce Loan'!$D$16:$H$52,5,0),0)+IF(AR16=EOMONTH($G20,0),$C20,0)</f>
        <v>59824.461978274863</v>
      </c>
      <c r="AS20" s="218">
        <f>_xlfn.IFNA(VLOOKUP(AS16,'E-Commerce Loan'!$D$16:$H$52,5,0),0)+IF(AS16=EOMONTH($G20,0),$C20,0)</f>
        <v>60223.291724796691</v>
      </c>
      <c r="AT20" s="218">
        <f>_xlfn.IFNA(VLOOKUP(AT16,'E-Commerce Loan'!$D$16:$H$52,5,0),0)+IF(AT16=EOMONTH($G20,0),$C20,0)</f>
        <v>60624.780336295342</v>
      </c>
      <c r="AU20" s="218">
        <f>_xlfn.IFNA(VLOOKUP(AU16,'E-Commerce Loan'!$D$16:$H$52,5,0),0)+IF(AU16=EOMONTH($G20,0),$C20,0)</f>
        <v>61028.945538537308</v>
      </c>
      <c r="AV20" s="218">
        <f>_xlfn.IFNA(VLOOKUP(AV16,'E-Commerce Loan'!$D$16:$H$52,5,0),0)+IF(AV16=EOMONTH($G20,0),$C20,0)</f>
        <v>61435.80517546089</v>
      </c>
      <c r="AW20" s="218">
        <f>_xlfn.IFNA(VLOOKUP(AW16,'E-Commerce Loan'!$D$16:$H$52,5,0),0)+IF(AW16=EOMONTH($G20,0),$C20,0)</f>
        <v>61845.377209963961</v>
      </c>
      <c r="AX20" s="218">
        <f>_xlfn.IFNA(VLOOKUP(AX16,'E-Commerce Loan'!$D$16:$H$52,5,0),0)+IF(AX16=EOMONTH($G20,0),$C20,0)</f>
        <v>62257.679724697053</v>
      </c>
      <c r="AY20" s="218">
        <f>_xlfn.IFNA(VLOOKUP(AY16,'E-Commerce Loan'!$D$16:$H$52,5,0),0)+IF(AY16=EOMONTH($G20,0),$C20,0)</f>
        <v>0</v>
      </c>
      <c r="AZ20" s="218">
        <f>_xlfn.IFNA(VLOOKUP(AZ16,'E-Commerce Loan'!$D$16:$H$52,5,0),0)+IF(AZ16=EOMONTH($G20,0),$C20,0)</f>
        <v>0</v>
      </c>
      <c r="BA20" s="218">
        <f>_xlfn.IFNA(VLOOKUP(BA16,'E-Commerce Loan'!$D$16:$H$52,5,0),0)+IF(BA16=EOMONTH($G20,0),$C20,0)</f>
        <v>0</v>
      </c>
      <c r="BB20" s="218">
        <f>_xlfn.IFNA(VLOOKUP(BB16,'E-Commerce Loan'!$D$16:$H$52,5,0),0)+IF(BB16=EOMONTH($G20,0),$C20,0)</f>
        <v>0</v>
      </c>
      <c r="BC20" s="218">
        <f>_xlfn.IFNA(VLOOKUP(BC16,'E-Commerce Loan'!$D$16:$H$52,5,0),0)+IF(BC16=EOMONTH($G20,0),$C20,0)</f>
        <v>0</v>
      </c>
      <c r="BD20" s="218">
        <f>_xlfn.IFNA(VLOOKUP(BD16,'E-Commerce Loan'!$D$16:$H$52,5,0),0)+IF(BD16=EOMONTH($G20,0),$C20,0)</f>
        <v>0</v>
      </c>
      <c r="BE20" s="218">
        <f>_xlfn.IFNA(VLOOKUP(BE16,'E-Commerce Loan'!$D$16:$H$52,5,0),0)+IF(BE16=EOMONTH($G20,0),$C20,0)</f>
        <v>0</v>
      </c>
      <c r="BF20" s="218">
        <f>_xlfn.IFNA(VLOOKUP(BF16,'E-Commerce Loan'!$D$16:$H$52,5,0),0)+IF(BF16=EOMONTH($G20,0),$C20,0)</f>
        <v>0</v>
      </c>
      <c r="BG20" s="218">
        <f>_xlfn.IFNA(VLOOKUP(BG16,'E-Commerce Loan'!$D$16:$H$52,5,0),0)+IF(BG16=EOMONTH($G20,0),$C20,0)</f>
        <v>0</v>
      </c>
      <c r="BH20" s="218">
        <f>_xlfn.IFNA(VLOOKUP(BH16,'E-Commerce Loan'!$D$16:$H$52,5,0),0)+IF(BH16=EOMONTH($G20,0),$C20,0)</f>
        <v>0</v>
      </c>
      <c r="BI20" s="218">
        <f>_xlfn.IFNA(VLOOKUP(BI16,'E-Commerce Loan'!$D$16:$H$52,5,0),0)+IF(BI16=EOMONTH($G20,0),$C20,0)</f>
        <v>0</v>
      </c>
      <c r="BJ20" s="218">
        <f>_xlfn.IFNA(VLOOKUP(BJ16,'E-Commerce Loan'!$D$16:$H$52,5,0),0)+IF(BJ16=EOMONTH($G20,0),$C20,0)</f>
        <v>0</v>
      </c>
      <c r="BK20" s="218">
        <f>_xlfn.IFNA(VLOOKUP(BK16,'E-Commerce Loan'!$D$16:$H$52,5,0),0)+IF(BK16=EOMONTH($G20,0),$C20,0)</f>
        <v>0</v>
      </c>
      <c r="BL20" s="218">
        <f>_xlfn.IFNA(VLOOKUP(BL16,'E-Commerce Loan'!$D$16:$H$52,5,0),0)+IF(BL16=EOMONTH($G20,0),$C20,0)</f>
        <v>0</v>
      </c>
      <c r="BM20" s="218">
        <f>_xlfn.IFNA(VLOOKUP(BM16,'E-Commerce Loan'!$D$16:$H$52,5,0),0)+IF(BM16=EOMONTH($G20,0),$C20,0)</f>
        <v>0</v>
      </c>
      <c r="BN20" s="218">
        <f>_xlfn.IFNA(VLOOKUP(BN16,'E-Commerce Loan'!$D$16:$H$52,5,0),0)+IF(BN16=EOMONTH($G20,0),$C20,0)</f>
        <v>0</v>
      </c>
      <c r="BO20" s="218">
        <f>_xlfn.IFNA(VLOOKUP(BO16,'E-Commerce Loan'!$D$16:$H$52,5,0),0)+IF(BO16=EOMONTH($G20,0),$C20,0)</f>
        <v>0</v>
      </c>
      <c r="BP20" s="218">
        <f>_xlfn.IFNA(VLOOKUP(BP16,'E-Commerce Loan'!$D$16:$H$52,5,0),0)+IF(BP16=EOMONTH($G20,0),$C20,0)</f>
        <v>0</v>
      </c>
      <c r="BQ20" s="406">
        <f>_xlfn.IFNA(VLOOKUP(BQ16,'E-Commerce Loan'!$D$16:$H$52,5,0),0)+IF(BQ16=EOMONTH($G20,0),$C20,0)</f>
        <v>0</v>
      </c>
    </row>
    <row r="21" spans="1:69" s="206" customFormat="1" ht="32.25" outlineLevel="1" thickBot="1" x14ac:dyDescent="0.3">
      <c r="A21" s="104"/>
      <c r="B21" s="290" t="str">
        <f>"Invest in "&amp;'Business Plan'!C75</f>
        <v>Invest in Apartment Complex Loan</v>
      </c>
      <c r="C21" s="291">
        <f>-'Business Plan'!D79</f>
        <v>-3000000</v>
      </c>
      <c r="D21" s="292">
        <f>+INDEX('Apartment Complex Loan'!$I$16:$I$76,MATCH(H21,'Apartment Complex Loan'!$D$16:$D$76,0))</f>
        <v>2753833.0900729205</v>
      </c>
      <c r="E21" s="222" t="str">
        <f>'Business Plan'!C75&amp;" Principal"</f>
        <v>Apartment Complex Loan Principal</v>
      </c>
      <c r="F21" s="223" t="str">
        <f>+'Business Plan'!C75</f>
        <v>Apartment Complex Loan</v>
      </c>
      <c r="G21" s="293">
        <f>+'Business Plan'!D82</f>
        <v>45413</v>
      </c>
      <c r="H21" s="398">
        <f>+'Business Plan'!D83</f>
        <v>45657</v>
      </c>
      <c r="I21" s="246">
        <f t="shared" si="21"/>
        <v>0</v>
      </c>
      <c r="J21" s="407">
        <f>_xlfn.IFNA(VLOOKUP(J16,'Apartment Complex Loan'!$D$16:$H$86,5,0),0)+IF(J16=EOMONTH($G21,0),$C21,0)+IF(J16=EOMONTH($H$21,0),$D$21,0)</f>
        <v>0</v>
      </c>
      <c r="K21" s="408">
        <f>_xlfn.IFNA(VLOOKUP(K16,'Apartment Complex Loan'!$D$16:$H$86,5,0),0)+IF(K16=EOMONTH($G21,0),$C21,0)+IF(K16=EOMONTH($H$21,0),$D$21,0)</f>
        <v>0</v>
      </c>
      <c r="L21" s="408">
        <f>_xlfn.IFNA(VLOOKUP(L16,'Apartment Complex Loan'!$D$16:$H$86,5,0),0)+IF(L16=EOMONTH($G21,0),$C21,0)+IF(L16=EOMONTH($H$21,0),$D$21,0)</f>
        <v>0</v>
      </c>
      <c r="M21" s="408">
        <f>_xlfn.IFNA(VLOOKUP(M16,'Apartment Complex Loan'!$D$16:$H$86,5,0),0)+IF(M16=EOMONTH($G21,0),$C21,0)+IF(M16=EOMONTH($H$21,0),$D$21,0)</f>
        <v>0</v>
      </c>
      <c r="N21" s="408">
        <f>_xlfn.IFNA(VLOOKUP(N16,'Apartment Complex Loan'!$D$16:$H$86,5,0),0)+IF(N16=EOMONTH($G21,0),$C21,0)+IF(N16=EOMONTH($H$21,0),$D$21,0)</f>
        <v>-3000000</v>
      </c>
      <c r="O21" s="408">
        <f>_xlfn.IFNA(VLOOKUP(O16,'Apartment Complex Loan'!$D$16:$H$86,5,0),0)+IF(O16=EOMONTH($G21,0),$C21,0)+IF(O16=EOMONTH($H$21,0),$D$21,0)</f>
        <v>33869.790259076195</v>
      </c>
      <c r="P21" s="408">
        <f>_xlfn.IFNA(VLOOKUP(P16,'Apartment Complex Loan'!$D$16:$H$86,5,0),0)+IF(P16=EOMONTH($G21,0),$C21,0)+IF(P16=EOMONTH($H$21,0),$D$21,0)</f>
        <v>34293.16263731465</v>
      </c>
      <c r="Q21" s="408">
        <f>_xlfn.IFNA(VLOOKUP(Q16,'Apartment Complex Loan'!$D$16:$H$86,5,0),0)+IF(Q16=EOMONTH($G21,0),$C21,0)+IF(Q16=EOMONTH($H$21,0),$D$21,0)</f>
        <v>34721.827170281082</v>
      </c>
      <c r="R21" s="408">
        <f>_xlfn.IFNA(VLOOKUP(R16,'Apartment Complex Loan'!$D$16:$H$86,5,0),0)+IF(R16=EOMONTH($G21,0),$C21,0)+IF(R16=EOMONTH($H$21,0),$D$21,0)</f>
        <v>35155.850009909598</v>
      </c>
      <c r="S21" s="408">
        <f>_xlfn.IFNA(VLOOKUP(S16,'Apartment Complex Loan'!$D$16:$H$86,5,0),0)+IF(S16=EOMONTH($G21,0),$C21,0)+IF(S16=EOMONTH($H$21,0),$D$21,0)</f>
        <v>35595.298135033467</v>
      </c>
      <c r="T21" s="408">
        <f>_xlfn.IFNA(VLOOKUP(T16,'Apartment Complex Loan'!$D$16:$H$86,5,0),0)+IF(T16=EOMONTH($G21,0),$C21,0)+IF(T16=EOMONTH($H$21,0),$D$21,0)</f>
        <v>36040.239361721382</v>
      </c>
      <c r="U21" s="408">
        <f>_xlfn.IFNA(VLOOKUP(U16,'Apartment Complex Loan'!$D$16:$H$86,5,0),0)+IF(U16=EOMONTH($G21,0),$C21,0)+IF(U16=EOMONTH($H$21,0),$D$21,0)</f>
        <v>2790323.8324266635</v>
      </c>
      <c r="V21" s="408">
        <f>_xlfn.IFNA(VLOOKUP(V16,'Apartment Complex Loan'!$D$16:$H$86,5,0),0)+IF(V16=EOMONTH($G21,0),$C21,0)+IF(V16=EOMONTH($H$21,0),$D$21,0)</f>
        <v>0</v>
      </c>
      <c r="W21" s="408">
        <f>_xlfn.IFNA(VLOOKUP(W16,'Apartment Complex Loan'!$D$16:$H$86,5,0),0)+IF(W16=EOMONTH($G21,0),$C21,0)+IF(W16=EOMONTH($H$21,0),$D$21,0)</f>
        <v>0</v>
      </c>
      <c r="X21" s="408">
        <f>_xlfn.IFNA(VLOOKUP(X16,'Apartment Complex Loan'!$D$16:$H$86,5,0),0)+IF(X16=EOMONTH($G21,0),$C21,0)+IF(X16=EOMONTH($H$21,0),$D$21,0)</f>
        <v>0</v>
      </c>
      <c r="Y21" s="408">
        <f>_xlfn.IFNA(VLOOKUP(Y16,'Apartment Complex Loan'!$D$16:$H$86,5,0),0)+IF(Y16=EOMONTH($G21,0),$C21,0)+IF(Y16=EOMONTH($H$21,0),$D$21,0)</f>
        <v>0</v>
      </c>
      <c r="Z21" s="408">
        <f>_xlfn.IFNA(VLOOKUP(Z16,'Apartment Complex Loan'!$D$16:$H$86,5,0),0)+IF(Z16=EOMONTH($G21,0),$C21,0)+IF(Z16=EOMONTH($H$21,0),$D$21,0)</f>
        <v>0</v>
      </c>
      <c r="AA21" s="408">
        <f>_xlfn.IFNA(VLOOKUP(AA16,'Apartment Complex Loan'!$D$16:$H$86,5,0),0)+IF(AA16=EOMONTH($G21,0),$C21,0)+IF(AA16=EOMONTH($H$21,0),$D$21,0)</f>
        <v>0</v>
      </c>
      <c r="AB21" s="408">
        <f>_xlfn.IFNA(VLOOKUP(AB16,'Apartment Complex Loan'!$D$16:$H$86,5,0),0)+IF(AB16=EOMONTH($G21,0),$C21,0)+IF(AB16=EOMONTH($H$21,0),$D$21,0)</f>
        <v>0</v>
      </c>
      <c r="AC21" s="408">
        <f>_xlfn.IFNA(VLOOKUP(AC16,'Apartment Complex Loan'!$D$16:$H$86,5,0),0)+IF(AC16=EOMONTH($G21,0),$C21,0)+IF(AC16=EOMONTH($H$21,0),$D$21,0)</f>
        <v>0</v>
      </c>
      <c r="AD21" s="408">
        <f>_xlfn.IFNA(VLOOKUP(AD16,'Apartment Complex Loan'!$D$16:$H$86,5,0),0)+IF(AD16=EOMONTH($G21,0),$C21,0)+IF(AD16=EOMONTH($H$21,0),$D$21,0)</f>
        <v>0</v>
      </c>
      <c r="AE21" s="408">
        <f>_xlfn.IFNA(VLOOKUP(AE16,'Apartment Complex Loan'!$D$16:$H$86,5,0),0)+IF(AE16=EOMONTH($G21,0),$C21,0)+IF(AE16=EOMONTH($H$21,0),$D$21,0)</f>
        <v>0</v>
      </c>
      <c r="AF21" s="408">
        <f>_xlfn.IFNA(VLOOKUP(AF16,'Apartment Complex Loan'!$D$16:$H$86,5,0),0)+IF(AF16=EOMONTH($G21,0),$C21,0)+IF(AF16=EOMONTH($H$21,0),$D$21,0)</f>
        <v>0</v>
      </c>
      <c r="AG21" s="408">
        <f>_xlfn.IFNA(VLOOKUP(AG16,'Apartment Complex Loan'!$D$16:$H$86,5,0),0)+IF(AG16=EOMONTH($G21,0),$C21,0)+IF(AG16=EOMONTH($H$21,0),$D$21,0)</f>
        <v>0</v>
      </c>
      <c r="AH21" s="408">
        <f>_xlfn.IFNA(VLOOKUP(AH16,'Apartment Complex Loan'!$D$16:$H$86,5,0),0)+IF(AH16=EOMONTH($G21,0),$C21,0)+IF(AH16=EOMONTH($H$21,0),$D$21,0)</f>
        <v>0</v>
      </c>
      <c r="AI21" s="408">
        <f>_xlfn.IFNA(VLOOKUP(AI16,'Apartment Complex Loan'!$D$16:$H$86,5,0),0)+IF(AI16=EOMONTH($G21,0),$C21,0)+IF(AI16=EOMONTH($H$21,0),$D$21,0)</f>
        <v>0</v>
      </c>
      <c r="AJ21" s="408">
        <f>_xlfn.IFNA(VLOOKUP(AJ16,'Apartment Complex Loan'!$D$16:$H$86,5,0),0)+IF(AJ16=EOMONTH($G21,0),$C21,0)+IF(AJ16=EOMONTH($H$21,0),$D$21,0)</f>
        <v>0</v>
      </c>
      <c r="AK21" s="408">
        <f>_xlfn.IFNA(VLOOKUP(AK16,'Apartment Complex Loan'!$D$16:$H$86,5,0),0)+IF(AK16=EOMONTH($G21,0),$C21,0)+IF(AK16=EOMONTH($H$21,0),$D$21,0)</f>
        <v>0</v>
      </c>
      <c r="AL21" s="408">
        <f>_xlfn.IFNA(VLOOKUP(AL16,'Apartment Complex Loan'!$D$16:$H$86,5,0),0)+IF(AL16=EOMONTH($G21,0),$C21,0)+IF(AL16=EOMONTH($H$21,0),$D$21,0)</f>
        <v>0</v>
      </c>
      <c r="AM21" s="408">
        <f>_xlfn.IFNA(VLOOKUP(AM16,'Apartment Complex Loan'!$D$16:$H$86,5,0),0)+IF(AM16=EOMONTH($G21,0),$C21,0)+IF(AM16=EOMONTH($H$21,0),$D$21,0)</f>
        <v>0</v>
      </c>
      <c r="AN21" s="408">
        <f>_xlfn.IFNA(VLOOKUP(AN16,'Apartment Complex Loan'!$D$16:$H$86,5,0),0)+IF(AN16=EOMONTH($G21,0),$C21,0)+IF(AN16=EOMONTH($H$21,0),$D$21,0)</f>
        <v>0</v>
      </c>
      <c r="AO21" s="408">
        <f>_xlfn.IFNA(VLOOKUP(AO16,'Apartment Complex Loan'!$D$16:$H$86,5,0),0)+IF(AO16=EOMONTH($G21,0),$C21,0)+IF(AO16=EOMONTH($H$21,0),$D$21,0)</f>
        <v>0</v>
      </c>
      <c r="AP21" s="408">
        <f>_xlfn.IFNA(VLOOKUP(AP16,'Apartment Complex Loan'!$D$16:$H$86,5,0),0)+IF(AP16=EOMONTH($G21,0),$C21,0)+IF(AP16=EOMONTH($H$21,0),$D$21,0)</f>
        <v>0</v>
      </c>
      <c r="AQ21" s="408">
        <f>_xlfn.IFNA(VLOOKUP(AQ16,'Apartment Complex Loan'!$D$16:$H$86,5,0),0)+IF(AQ16=EOMONTH($G21,0),$C21,0)+IF(AQ16=EOMONTH($H$21,0),$D$21,0)</f>
        <v>0</v>
      </c>
      <c r="AR21" s="408">
        <f>_xlfn.IFNA(VLOOKUP(AR16,'Apartment Complex Loan'!$D$16:$H$86,5,0),0)+IF(AR16=EOMONTH($G21,0),$C21,0)+IF(AR16=EOMONTH($H$21,0),$D$21,0)</f>
        <v>0</v>
      </c>
      <c r="AS21" s="408">
        <f>_xlfn.IFNA(VLOOKUP(AS16,'Apartment Complex Loan'!$D$16:$H$86,5,0),0)+IF(AS16=EOMONTH($G21,0),$C21,0)+IF(AS16=EOMONTH($H$21,0),$D$21,0)</f>
        <v>0</v>
      </c>
      <c r="AT21" s="408">
        <f>_xlfn.IFNA(VLOOKUP(AT16,'Apartment Complex Loan'!$D$16:$H$86,5,0),0)+IF(AT16=EOMONTH($G21,0),$C21,0)+IF(AT16=EOMONTH($H$21,0),$D$21,0)</f>
        <v>0</v>
      </c>
      <c r="AU21" s="408">
        <f>_xlfn.IFNA(VLOOKUP(AU16,'Apartment Complex Loan'!$D$16:$H$86,5,0),0)+IF(AU16=EOMONTH($G21,0),$C21,0)+IF(AU16=EOMONTH($H$21,0),$D$21,0)</f>
        <v>0</v>
      </c>
      <c r="AV21" s="408">
        <f>_xlfn.IFNA(VLOOKUP(AV16,'Apartment Complex Loan'!$D$16:$H$86,5,0),0)+IF(AV16=EOMONTH($G21,0),$C21,0)+IF(AV16=EOMONTH($H$21,0),$D$21,0)</f>
        <v>0</v>
      </c>
      <c r="AW21" s="408">
        <f>_xlfn.IFNA(VLOOKUP(AW16,'Apartment Complex Loan'!$D$16:$H$86,5,0),0)+IF(AW16=EOMONTH($G21,0),$C21,0)+IF(AW16=EOMONTH($H$21,0),$D$21,0)</f>
        <v>0</v>
      </c>
      <c r="AX21" s="408">
        <f>_xlfn.IFNA(VLOOKUP(AX16,'Apartment Complex Loan'!$D$16:$H$86,5,0),0)+IF(AX16=EOMONTH($G21,0),$C21,0)+IF(AX16=EOMONTH($H$21,0),$D$21,0)</f>
        <v>0</v>
      </c>
      <c r="AY21" s="408">
        <f>_xlfn.IFNA(VLOOKUP(AY16,'Apartment Complex Loan'!$D$16:$H$86,5,0),0)+IF(AY16=EOMONTH($G21,0),$C21,0)+IF(AY16=EOMONTH($H$21,0),$D$21,0)</f>
        <v>0</v>
      </c>
      <c r="AZ21" s="408">
        <f>_xlfn.IFNA(VLOOKUP(AZ16,'Apartment Complex Loan'!$D$16:$H$86,5,0),0)+IF(AZ16=EOMONTH($G21,0),$C21,0)+IF(AZ16=EOMONTH($H$21,0),$D$21,0)</f>
        <v>0</v>
      </c>
      <c r="BA21" s="408">
        <f>_xlfn.IFNA(VLOOKUP(BA16,'Apartment Complex Loan'!$D$16:$H$86,5,0),0)+IF(BA16=EOMONTH($G21,0),$C21,0)+IF(BA16=EOMONTH($H$21,0),$D$21,0)</f>
        <v>0</v>
      </c>
      <c r="BB21" s="408">
        <f>_xlfn.IFNA(VLOOKUP(BB16,'Apartment Complex Loan'!$D$16:$H$86,5,0),0)+IF(BB16=EOMONTH($G21,0),$C21,0)+IF(BB16=EOMONTH($H$21,0),$D$21,0)</f>
        <v>0</v>
      </c>
      <c r="BC21" s="408">
        <f>_xlfn.IFNA(VLOOKUP(BC16,'Apartment Complex Loan'!$D$16:$H$86,5,0),0)+IF(BC16=EOMONTH($G21,0),$C21,0)+IF(BC16=EOMONTH($H$21,0),$D$21,0)</f>
        <v>0</v>
      </c>
      <c r="BD21" s="408">
        <f>_xlfn.IFNA(VLOOKUP(BD16,'Apartment Complex Loan'!$D$16:$H$86,5,0),0)+IF(BD16=EOMONTH($G21,0),$C21,0)+IF(BD16=EOMONTH($H$21,0),$D$21,0)</f>
        <v>0</v>
      </c>
      <c r="BE21" s="408">
        <f>_xlfn.IFNA(VLOOKUP(BE16,'Apartment Complex Loan'!$D$16:$H$86,5,0),0)+IF(BE16=EOMONTH($G21,0),$C21,0)+IF(BE16=EOMONTH($H$21,0),$D$21,0)</f>
        <v>0</v>
      </c>
      <c r="BF21" s="408">
        <f>_xlfn.IFNA(VLOOKUP(BF16,'Apartment Complex Loan'!$D$16:$H$86,5,0),0)+IF(BF16=EOMONTH($G21,0),$C21,0)+IF(BF16=EOMONTH($H$21,0),$D$21,0)</f>
        <v>0</v>
      </c>
      <c r="BG21" s="408">
        <f>_xlfn.IFNA(VLOOKUP(BG16,'Apartment Complex Loan'!$D$16:$H$86,5,0),0)+IF(BG16=EOMONTH($G21,0),$C21,0)+IF(BG16=EOMONTH($H$21,0),$D$21,0)</f>
        <v>0</v>
      </c>
      <c r="BH21" s="408">
        <f>_xlfn.IFNA(VLOOKUP(BH16,'Apartment Complex Loan'!$D$16:$H$86,5,0),0)+IF(BH16=EOMONTH($G21,0),$C21,0)+IF(BH16=EOMONTH($H$21,0),$D$21,0)</f>
        <v>0</v>
      </c>
      <c r="BI21" s="408">
        <f>_xlfn.IFNA(VLOOKUP(BI16,'Apartment Complex Loan'!$D$16:$H$86,5,0),0)+IF(BI16=EOMONTH($G21,0),$C21,0)+IF(BI16=EOMONTH($H$21,0),$D$21,0)</f>
        <v>0</v>
      </c>
      <c r="BJ21" s="408">
        <f>_xlfn.IFNA(VLOOKUP(BJ16,'Apartment Complex Loan'!$D$16:$H$86,5,0),0)+IF(BJ16=EOMONTH($G21,0),$C21,0)+IF(BJ16=EOMONTH($H$21,0),$D$21,0)</f>
        <v>0</v>
      </c>
      <c r="BK21" s="408">
        <f>_xlfn.IFNA(VLOOKUP(BK16,'Apartment Complex Loan'!$D$16:$H$86,5,0),0)+IF(BK16=EOMONTH($G21,0),$C21,0)+IF(BK16=EOMONTH($H$21,0),$D$21,0)</f>
        <v>0</v>
      </c>
      <c r="BL21" s="408">
        <f>_xlfn.IFNA(VLOOKUP(BL16,'Apartment Complex Loan'!$D$16:$H$86,5,0),0)+IF(BL16=EOMONTH($G21,0),$C21,0)+IF(BL16=EOMONTH($H$21,0),$D$21,0)</f>
        <v>0</v>
      </c>
      <c r="BM21" s="408">
        <f>_xlfn.IFNA(VLOOKUP(BM16,'Apartment Complex Loan'!$D$16:$H$86,5,0),0)+IF(BM16=EOMONTH($G21,0),$C21,0)+IF(BM16=EOMONTH($H$21,0),$D$21,0)</f>
        <v>0</v>
      </c>
      <c r="BN21" s="408">
        <f>_xlfn.IFNA(VLOOKUP(BN16,'Apartment Complex Loan'!$D$16:$H$86,5,0),0)+IF(BN16=EOMONTH($G21,0),$C21,0)+IF(BN16=EOMONTH($H$21,0),$D$21,0)</f>
        <v>0</v>
      </c>
      <c r="BO21" s="408">
        <f>_xlfn.IFNA(VLOOKUP(BO16,'Apartment Complex Loan'!$D$16:$H$86,5,0),0)+IF(BO16=EOMONTH($G21,0),$C21,0)+IF(BO16=EOMONTH($H$21,0),$D$21,0)</f>
        <v>0</v>
      </c>
      <c r="BP21" s="408">
        <f>_xlfn.IFNA(VLOOKUP(BP16,'Apartment Complex Loan'!$D$16:$H$86,5,0),0)+IF(BP16=EOMONTH($G21,0),$C21,0)+IF(BP16=EOMONTH($H$21,0),$D$21,0)</f>
        <v>0</v>
      </c>
      <c r="BQ21" s="409">
        <f>_xlfn.IFNA(VLOOKUP(BQ16,'Apartment Complex Loan'!$D$16:$H$86,5,0),0)+IF(BQ16=EOMONTH($G21,0),$C21,0)+IF(BQ16=EOMONTH($H$21,0),$D$21,0)</f>
        <v>0</v>
      </c>
    </row>
    <row r="22" spans="1:69" s="206" customFormat="1" outlineLevel="1" x14ac:dyDescent="0.25">
      <c r="A22" s="104"/>
      <c r="B22" s="201"/>
      <c r="C22" s="202"/>
      <c r="D22" s="203"/>
      <c r="E22" s="202"/>
      <c r="G22" s="204"/>
      <c r="H22" s="204"/>
      <c r="I22" s="246"/>
      <c r="J22" s="203"/>
      <c r="K22" s="203"/>
      <c r="L22" s="203"/>
      <c r="M22" s="203"/>
      <c r="N22" s="203"/>
      <c r="O22" s="205"/>
      <c r="P22" s="205"/>
      <c r="Q22" s="205"/>
      <c r="R22" s="205"/>
      <c r="S22" s="205"/>
      <c r="T22" s="205"/>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row>
    <row r="23" spans="1:69" ht="16.5" thickBot="1" x14ac:dyDescent="0.3">
      <c r="E23" s="126"/>
      <c r="G23" s="126"/>
      <c r="H23" s="341" t="str">
        <f>"Total"&amp;RIGHT(B15,LEN(B15)-2)</f>
        <v>Total Investment Activities</v>
      </c>
      <c r="I23" s="246"/>
      <c r="J23" s="207">
        <f t="shared" ref="J23:AO23" si="82">SUM(J17:J22)</f>
        <v>-5400000</v>
      </c>
      <c r="K23" s="207">
        <f t="shared" si="82"/>
        <v>0</v>
      </c>
      <c r="L23" s="207">
        <f t="shared" si="82"/>
        <v>0</v>
      </c>
      <c r="M23" s="207">
        <f t="shared" si="82"/>
        <v>0</v>
      </c>
      <c r="N23" s="207">
        <f t="shared" si="82"/>
        <v>-9000000</v>
      </c>
      <c r="O23" s="207">
        <f t="shared" si="82"/>
        <v>83209.187848604561</v>
      </c>
      <c r="P23" s="207">
        <f t="shared" si="82"/>
        <v>83961.489544106531</v>
      </c>
      <c r="Q23" s="207">
        <f t="shared" si="82"/>
        <v>84721.276256451587</v>
      </c>
      <c r="R23" s="207">
        <f t="shared" si="82"/>
        <v>85488.628756654565</v>
      </c>
      <c r="S23" s="207">
        <f t="shared" si="82"/>
        <v>86263.628740090076</v>
      </c>
      <c r="T23" s="207">
        <f t="shared" si="82"/>
        <v>9287046.3588374797</v>
      </c>
      <c r="U23" s="207">
        <f t="shared" si="82"/>
        <v>2841669.9926989255</v>
      </c>
      <c r="V23" s="207">
        <f t="shared" si="82"/>
        <v>51688.468007410447</v>
      </c>
      <c r="W23" s="207">
        <f t="shared" si="82"/>
        <v>52033.057794126515</v>
      </c>
      <c r="X23" s="207">
        <f t="shared" si="82"/>
        <v>52379.944846087354</v>
      </c>
      <c r="Y23" s="207">
        <f t="shared" si="82"/>
        <v>52729.144478394606</v>
      </c>
      <c r="Z23" s="207">
        <f t="shared" si="82"/>
        <v>53080.672108250568</v>
      </c>
      <c r="AA23" s="207">
        <f t="shared" si="82"/>
        <v>53434.543255638906</v>
      </c>
      <c r="AB23" s="207">
        <f t="shared" si="82"/>
        <v>53790.773544009833</v>
      </c>
      <c r="AC23" s="207">
        <f t="shared" si="82"/>
        <v>54149.378700969901</v>
      </c>
      <c r="AD23" s="207">
        <f t="shared" si="82"/>
        <v>54510.374558976364</v>
      </c>
      <c r="AE23" s="207">
        <f t="shared" si="82"/>
        <v>54873.777056036211</v>
      </c>
      <c r="AF23" s="207">
        <f t="shared" si="82"/>
        <v>55239.602236409781</v>
      </c>
      <c r="AG23" s="207">
        <f t="shared" si="82"/>
        <v>55607.866251319181</v>
      </c>
      <c r="AH23" s="207">
        <f t="shared" si="82"/>
        <v>55978.585359661309</v>
      </c>
      <c r="AI23" s="207">
        <f t="shared" si="82"/>
        <v>56351.775928725721</v>
      </c>
      <c r="AJ23" s="207">
        <f t="shared" si="82"/>
        <v>56727.454434917221</v>
      </c>
      <c r="AK23" s="207">
        <f t="shared" si="82"/>
        <v>57105.637464483334</v>
      </c>
      <c r="AL23" s="207">
        <f t="shared" si="82"/>
        <v>57486.341714246562</v>
      </c>
      <c r="AM23" s="207">
        <f t="shared" si="82"/>
        <v>57869.583992341533</v>
      </c>
      <c r="AN23" s="207">
        <f t="shared" si="82"/>
        <v>58255.381218957147</v>
      </c>
      <c r="AO23" s="207">
        <f t="shared" si="82"/>
        <v>58643.750427083527</v>
      </c>
      <c r="AP23" s="207">
        <f t="shared" ref="AP23:BQ23" si="83">SUM(AP17:AP22)</f>
        <v>59034.708763264083</v>
      </c>
      <c r="AQ23" s="207">
        <f t="shared" si="83"/>
        <v>59428.273488352512</v>
      </c>
      <c r="AR23" s="207">
        <f t="shared" si="83"/>
        <v>59824.461978274863</v>
      </c>
      <c r="AS23" s="207">
        <f t="shared" si="83"/>
        <v>60223.291724796691</v>
      </c>
      <c r="AT23" s="207">
        <f t="shared" si="83"/>
        <v>60624.780336295342</v>
      </c>
      <c r="AU23" s="207">
        <f t="shared" si="83"/>
        <v>61028.945538537308</v>
      </c>
      <c r="AV23" s="207">
        <f t="shared" si="83"/>
        <v>61435.80517546089</v>
      </c>
      <c r="AW23" s="207">
        <f t="shared" si="83"/>
        <v>61845.377209963961</v>
      </c>
      <c r="AX23" s="207">
        <f t="shared" si="83"/>
        <v>12062257.679724697</v>
      </c>
      <c r="AY23" s="207">
        <f t="shared" si="83"/>
        <v>0</v>
      </c>
      <c r="AZ23" s="207">
        <f t="shared" si="83"/>
        <v>0</v>
      </c>
      <c r="BA23" s="207">
        <f t="shared" si="83"/>
        <v>0</v>
      </c>
      <c r="BB23" s="207">
        <f t="shared" si="83"/>
        <v>0</v>
      </c>
      <c r="BC23" s="207">
        <f t="shared" si="83"/>
        <v>0</v>
      </c>
      <c r="BD23" s="207">
        <f t="shared" si="83"/>
        <v>0</v>
      </c>
      <c r="BE23" s="207">
        <f t="shared" si="83"/>
        <v>0</v>
      </c>
      <c r="BF23" s="207">
        <f t="shared" si="83"/>
        <v>0</v>
      </c>
      <c r="BG23" s="207">
        <f t="shared" si="83"/>
        <v>0</v>
      </c>
      <c r="BH23" s="207">
        <f t="shared" si="83"/>
        <v>0</v>
      </c>
      <c r="BI23" s="207">
        <f t="shared" si="83"/>
        <v>0</v>
      </c>
      <c r="BJ23" s="207">
        <f t="shared" si="83"/>
        <v>0</v>
      </c>
      <c r="BK23" s="207">
        <f t="shared" si="83"/>
        <v>0</v>
      </c>
      <c r="BL23" s="207">
        <f t="shared" si="83"/>
        <v>0</v>
      </c>
      <c r="BM23" s="207">
        <f t="shared" si="83"/>
        <v>0</v>
      </c>
      <c r="BN23" s="207">
        <f t="shared" si="83"/>
        <v>0</v>
      </c>
      <c r="BO23" s="207">
        <f t="shared" si="83"/>
        <v>0</v>
      </c>
      <c r="BP23" s="207">
        <f t="shared" si="83"/>
        <v>0</v>
      </c>
      <c r="BQ23" s="207">
        <f t="shared" si="83"/>
        <v>1100000</v>
      </c>
    </row>
    <row r="24" spans="1:69" s="126" customFormat="1" outlineLevel="1" x14ac:dyDescent="0.25">
      <c r="B24" s="208"/>
      <c r="C24" s="339"/>
      <c r="E24" s="339"/>
      <c r="F24" s="339"/>
      <c r="G24" s="340"/>
      <c r="H24" s="342" t="str">
        <f>"ITD "&amp;H23</f>
        <v>ITD Total Investment Activities</v>
      </c>
      <c r="I24" s="243"/>
      <c r="J24" s="211">
        <f>+J23</f>
        <v>-5400000</v>
      </c>
      <c r="K24" s="211">
        <f t="shared" ref="K24:AP24" si="84">+K23+J24</f>
        <v>-5400000</v>
      </c>
      <c r="L24" s="211">
        <f t="shared" si="84"/>
        <v>-5400000</v>
      </c>
      <c r="M24" s="211">
        <f t="shared" si="84"/>
        <v>-5400000</v>
      </c>
      <c r="N24" s="395">
        <f t="shared" si="84"/>
        <v>-14400000</v>
      </c>
      <c r="O24" s="211">
        <f t="shared" si="84"/>
        <v>-14316790.812151395</v>
      </c>
      <c r="P24" s="211">
        <f t="shared" si="84"/>
        <v>-14232829.322607288</v>
      </c>
      <c r="Q24" s="211">
        <f t="shared" si="84"/>
        <v>-14148108.046350837</v>
      </c>
      <c r="R24" s="211">
        <f t="shared" si="84"/>
        <v>-14062619.417594181</v>
      </c>
      <c r="S24" s="211">
        <f t="shared" si="84"/>
        <v>-13976355.78885409</v>
      </c>
      <c r="T24" s="211">
        <f t="shared" si="84"/>
        <v>-4689309.4300166108</v>
      </c>
      <c r="U24" s="211">
        <f t="shared" si="84"/>
        <v>-1847639.4373176852</v>
      </c>
      <c r="V24" s="211">
        <f t="shared" si="84"/>
        <v>-1795950.9693102748</v>
      </c>
      <c r="W24" s="211">
        <f t="shared" si="84"/>
        <v>-1743917.9115161484</v>
      </c>
      <c r="X24" s="211">
        <f t="shared" si="84"/>
        <v>-1691537.966670061</v>
      </c>
      <c r="Y24" s="211">
        <f t="shared" si="84"/>
        <v>-1638808.8221916663</v>
      </c>
      <c r="Z24" s="211">
        <f t="shared" si="84"/>
        <v>-1585728.1500834157</v>
      </c>
      <c r="AA24" s="211">
        <f t="shared" si="84"/>
        <v>-1532293.6068277769</v>
      </c>
      <c r="AB24" s="211">
        <f t="shared" si="84"/>
        <v>-1478502.8332837671</v>
      </c>
      <c r="AC24" s="211">
        <f t="shared" si="84"/>
        <v>-1424353.4545827971</v>
      </c>
      <c r="AD24" s="211">
        <f t="shared" si="84"/>
        <v>-1369843.0800238207</v>
      </c>
      <c r="AE24" s="211">
        <f t="shared" si="84"/>
        <v>-1314969.3029677845</v>
      </c>
      <c r="AF24" s="211">
        <f t="shared" si="84"/>
        <v>-1259729.7007313748</v>
      </c>
      <c r="AG24" s="211">
        <f t="shared" si="84"/>
        <v>-1204121.8344800556</v>
      </c>
      <c r="AH24" s="211">
        <f t="shared" si="84"/>
        <v>-1148143.2491203942</v>
      </c>
      <c r="AI24" s="211">
        <f t="shared" si="84"/>
        <v>-1091791.4731916685</v>
      </c>
      <c r="AJ24" s="211">
        <f t="shared" si="84"/>
        <v>-1035064.0187567513</v>
      </c>
      <c r="AK24" s="211">
        <f t="shared" si="84"/>
        <v>-977958.38129226794</v>
      </c>
      <c r="AL24" s="211">
        <f t="shared" si="84"/>
        <v>-920472.03957802139</v>
      </c>
      <c r="AM24" s="211">
        <f t="shared" si="84"/>
        <v>-862602.45558567985</v>
      </c>
      <c r="AN24" s="211">
        <f t="shared" si="84"/>
        <v>-804347.07436672272</v>
      </c>
      <c r="AO24" s="211">
        <f t="shared" si="84"/>
        <v>-745703.32393963914</v>
      </c>
      <c r="AP24" s="211">
        <f t="shared" si="84"/>
        <v>-686668.61517637502</v>
      </c>
      <c r="AQ24" s="211">
        <f t="shared" ref="AQ24:BQ24" si="85">+AQ23+AP24</f>
        <v>-627240.34168802248</v>
      </c>
      <c r="AR24" s="211">
        <f t="shared" si="85"/>
        <v>-567415.87970974762</v>
      </c>
      <c r="AS24" s="211">
        <f t="shared" si="85"/>
        <v>-507192.58798495092</v>
      </c>
      <c r="AT24" s="211">
        <f t="shared" si="85"/>
        <v>-446567.80764865561</v>
      </c>
      <c r="AU24" s="211">
        <f t="shared" si="85"/>
        <v>-385538.86211011832</v>
      </c>
      <c r="AV24" s="211">
        <f t="shared" si="85"/>
        <v>-324103.05693465745</v>
      </c>
      <c r="AW24" s="211">
        <f t="shared" si="85"/>
        <v>-262257.67972469347</v>
      </c>
      <c r="AX24" s="211">
        <f t="shared" si="85"/>
        <v>11800000.000000004</v>
      </c>
      <c r="AY24" s="211">
        <f t="shared" si="85"/>
        <v>11800000.000000004</v>
      </c>
      <c r="AZ24" s="211">
        <f t="shared" si="85"/>
        <v>11800000.000000004</v>
      </c>
      <c r="BA24" s="211">
        <f t="shared" si="85"/>
        <v>11800000.000000004</v>
      </c>
      <c r="BB24" s="211">
        <f t="shared" si="85"/>
        <v>11800000.000000004</v>
      </c>
      <c r="BC24" s="211">
        <f t="shared" si="85"/>
        <v>11800000.000000004</v>
      </c>
      <c r="BD24" s="211">
        <f t="shared" si="85"/>
        <v>11800000.000000004</v>
      </c>
      <c r="BE24" s="211">
        <f t="shared" si="85"/>
        <v>11800000.000000004</v>
      </c>
      <c r="BF24" s="211">
        <f t="shared" si="85"/>
        <v>11800000.000000004</v>
      </c>
      <c r="BG24" s="211">
        <f t="shared" si="85"/>
        <v>11800000.000000004</v>
      </c>
      <c r="BH24" s="211">
        <f t="shared" si="85"/>
        <v>11800000.000000004</v>
      </c>
      <c r="BI24" s="211">
        <f t="shared" si="85"/>
        <v>11800000.000000004</v>
      </c>
      <c r="BJ24" s="211">
        <f t="shared" si="85"/>
        <v>11800000.000000004</v>
      </c>
      <c r="BK24" s="211">
        <f t="shared" si="85"/>
        <v>11800000.000000004</v>
      </c>
      <c r="BL24" s="211">
        <f t="shared" si="85"/>
        <v>11800000.000000004</v>
      </c>
      <c r="BM24" s="211">
        <f t="shared" si="85"/>
        <v>11800000.000000004</v>
      </c>
      <c r="BN24" s="211">
        <f t="shared" si="85"/>
        <v>11800000.000000004</v>
      </c>
      <c r="BO24" s="211">
        <f t="shared" si="85"/>
        <v>11800000.000000004</v>
      </c>
      <c r="BP24" s="211">
        <f t="shared" si="85"/>
        <v>11800000.000000004</v>
      </c>
      <c r="BQ24" s="211">
        <f t="shared" si="85"/>
        <v>12900000.000000004</v>
      </c>
    </row>
    <row r="25" spans="1:69" outlineLevel="1" x14ac:dyDescent="0.25">
      <c r="B25" s="208"/>
      <c r="C25" s="209"/>
      <c r="D25" s="209"/>
      <c r="E25" s="209"/>
      <c r="F25" s="209"/>
      <c r="G25" s="210"/>
      <c r="H25" s="210"/>
      <c r="J25" s="226"/>
      <c r="K25" s="226"/>
      <c r="L25" s="226"/>
      <c r="M25" s="226"/>
      <c r="N25" s="443">
        <f>+Data!B13+Data!C13+Data!D17+Data!E17+Data!F17-N24</f>
        <v>0</v>
      </c>
      <c r="O25" s="226"/>
      <c r="P25" s="226"/>
      <c r="Q25" s="226"/>
      <c r="R25" s="226"/>
      <c r="S25" s="226"/>
      <c r="T25" s="226"/>
      <c r="U25" s="226"/>
      <c r="V25" s="226"/>
      <c r="W25" s="226"/>
      <c r="X25" s="226"/>
      <c r="Y25" s="226"/>
      <c r="Z25" s="226"/>
      <c r="AA25" s="226"/>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row>
    <row r="26" spans="1:69" s="193" customFormat="1" ht="16.5" thickBot="1" x14ac:dyDescent="0.3">
      <c r="B26" s="194" t="s">
        <v>258</v>
      </c>
      <c r="C26" s="194"/>
      <c r="D26" s="194"/>
      <c r="E26" s="194"/>
      <c r="F26" s="194"/>
      <c r="G26" s="194"/>
      <c r="H26" s="194"/>
      <c r="I26" s="244"/>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row>
    <row r="27" spans="1:69" ht="47.25" x14ac:dyDescent="0.25">
      <c r="B27" s="212" t="s">
        <v>53</v>
      </c>
      <c r="C27" s="213" t="s">
        <v>257</v>
      </c>
      <c r="D27" s="213" t="s">
        <v>256</v>
      </c>
      <c r="E27" s="213" t="str">
        <f>+F5</f>
        <v>Description</v>
      </c>
      <c r="F27" s="213" t="s">
        <v>38</v>
      </c>
      <c r="G27" s="213" t="s">
        <v>392</v>
      </c>
      <c r="H27" s="214" t="s">
        <v>246</v>
      </c>
      <c r="J27" s="262">
        <f t="shared" ref="J27:AO27" si="86">+J5</f>
        <v>45322</v>
      </c>
      <c r="K27" s="263">
        <f t="shared" si="86"/>
        <v>45351</v>
      </c>
      <c r="L27" s="263">
        <f t="shared" si="86"/>
        <v>45382</v>
      </c>
      <c r="M27" s="263">
        <f t="shared" si="86"/>
        <v>45412</v>
      </c>
      <c r="N27" s="263">
        <f t="shared" si="86"/>
        <v>45443</v>
      </c>
      <c r="O27" s="263">
        <f t="shared" si="86"/>
        <v>45473</v>
      </c>
      <c r="P27" s="263">
        <f t="shared" si="86"/>
        <v>45504</v>
      </c>
      <c r="Q27" s="263">
        <f t="shared" si="86"/>
        <v>45535</v>
      </c>
      <c r="R27" s="263">
        <f t="shared" si="86"/>
        <v>45565</v>
      </c>
      <c r="S27" s="263">
        <f t="shared" si="86"/>
        <v>45596</v>
      </c>
      <c r="T27" s="263">
        <f t="shared" si="86"/>
        <v>45626</v>
      </c>
      <c r="U27" s="263">
        <f t="shared" si="86"/>
        <v>45657</v>
      </c>
      <c r="V27" s="263">
        <f t="shared" si="86"/>
        <v>45688</v>
      </c>
      <c r="W27" s="263">
        <f t="shared" si="86"/>
        <v>45716</v>
      </c>
      <c r="X27" s="263">
        <f t="shared" si="86"/>
        <v>45747</v>
      </c>
      <c r="Y27" s="263">
        <f t="shared" si="86"/>
        <v>45777</v>
      </c>
      <c r="Z27" s="263">
        <f t="shared" si="86"/>
        <v>45808</v>
      </c>
      <c r="AA27" s="263">
        <f t="shared" si="86"/>
        <v>45838</v>
      </c>
      <c r="AB27" s="263">
        <f t="shared" si="86"/>
        <v>45869</v>
      </c>
      <c r="AC27" s="263">
        <f t="shared" si="86"/>
        <v>45900</v>
      </c>
      <c r="AD27" s="263">
        <f t="shared" si="86"/>
        <v>45930</v>
      </c>
      <c r="AE27" s="263">
        <f t="shared" si="86"/>
        <v>45961</v>
      </c>
      <c r="AF27" s="263">
        <f t="shared" si="86"/>
        <v>45991</v>
      </c>
      <c r="AG27" s="263">
        <f t="shared" si="86"/>
        <v>46022</v>
      </c>
      <c r="AH27" s="263">
        <f t="shared" si="86"/>
        <v>46053</v>
      </c>
      <c r="AI27" s="263">
        <f t="shared" si="86"/>
        <v>46081</v>
      </c>
      <c r="AJ27" s="263">
        <f t="shared" si="86"/>
        <v>46112</v>
      </c>
      <c r="AK27" s="263">
        <f t="shared" si="86"/>
        <v>46142</v>
      </c>
      <c r="AL27" s="263">
        <f t="shared" si="86"/>
        <v>46173</v>
      </c>
      <c r="AM27" s="263">
        <f t="shared" si="86"/>
        <v>46203</v>
      </c>
      <c r="AN27" s="263">
        <f t="shared" si="86"/>
        <v>46234</v>
      </c>
      <c r="AO27" s="263">
        <f t="shared" si="86"/>
        <v>46265</v>
      </c>
      <c r="AP27" s="263">
        <f t="shared" ref="AP27:BQ27" si="87">+AP5</f>
        <v>46295</v>
      </c>
      <c r="AQ27" s="263">
        <f t="shared" si="87"/>
        <v>46326</v>
      </c>
      <c r="AR27" s="263">
        <f t="shared" si="87"/>
        <v>46356</v>
      </c>
      <c r="AS27" s="263">
        <f t="shared" si="87"/>
        <v>46387</v>
      </c>
      <c r="AT27" s="263">
        <f t="shared" si="87"/>
        <v>46418</v>
      </c>
      <c r="AU27" s="263">
        <f t="shared" si="87"/>
        <v>46446</v>
      </c>
      <c r="AV27" s="263">
        <f t="shared" si="87"/>
        <v>46477</v>
      </c>
      <c r="AW27" s="263">
        <f t="shared" si="87"/>
        <v>46507</v>
      </c>
      <c r="AX27" s="263">
        <f t="shared" si="87"/>
        <v>46538</v>
      </c>
      <c r="AY27" s="263">
        <f t="shared" si="87"/>
        <v>46568</v>
      </c>
      <c r="AZ27" s="263">
        <f t="shared" si="87"/>
        <v>46599</v>
      </c>
      <c r="BA27" s="263">
        <f t="shared" si="87"/>
        <v>46630</v>
      </c>
      <c r="BB27" s="263">
        <f t="shared" si="87"/>
        <v>46660</v>
      </c>
      <c r="BC27" s="263">
        <f t="shared" si="87"/>
        <v>46691</v>
      </c>
      <c r="BD27" s="263">
        <f t="shared" si="87"/>
        <v>46721</v>
      </c>
      <c r="BE27" s="263">
        <f t="shared" si="87"/>
        <v>46752</v>
      </c>
      <c r="BF27" s="263">
        <f t="shared" si="87"/>
        <v>46783</v>
      </c>
      <c r="BG27" s="263">
        <f t="shared" si="87"/>
        <v>46812</v>
      </c>
      <c r="BH27" s="263">
        <f t="shared" si="87"/>
        <v>46843</v>
      </c>
      <c r="BI27" s="263">
        <f t="shared" si="87"/>
        <v>46873</v>
      </c>
      <c r="BJ27" s="263">
        <f t="shared" si="87"/>
        <v>46904</v>
      </c>
      <c r="BK27" s="263">
        <f t="shared" si="87"/>
        <v>46934</v>
      </c>
      <c r="BL27" s="263">
        <f t="shared" si="87"/>
        <v>46965</v>
      </c>
      <c r="BM27" s="263">
        <f t="shared" si="87"/>
        <v>46996</v>
      </c>
      <c r="BN27" s="263">
        <f t="shared" si="87"/>
        <v>47026</v>
      </c>
      <c r="BO27" s="263">
        <f t="shared" si="87"/>
        <v>47057</v>
      </c>
      <c r="BP27" s="263">
        <f t="shared" si="87"/>
        <v>47087</v>
      </c>
      <c r="BQ27" s="264">
        <f t="shared" si="87"/>
        <v>47118</v>
      </c>
    </row>
    <row r="28" spans="1:69" ht="31.5" outlineLevel="1" x14ac:dyDescent="0.25">
      <c r="B28" s="294" t="s">
        <v>393</v>
      </c>
      <c r="C28" s="132">
        <v>20000</v>
      </c>
      <c r="D28" s="281">
        <v>12</v>
      </c>
      <c r="E28" s="279" t="s">
        <v>400</v>
      </c>
      <c r="F28" s="279" t="s">
        <v>386</v>
      </c>
      <c r="G28" s="297">
        <f>EOMONTH('Business Plan'!$D$23,1)</f>
        <v>45322</v>
      </c>
      <c r="H28" s="254">
        <f>EOMONTH(G28,D28-1)</f>
        <v>45657</v>
      </c>
      <c r="J28" s="265">
        <f t="shared" ref="J28:Y34" si="88">-IF(AND($G28&lt;=J$5,J$5&lt;=$H28),$C28/$D28,0)</f>
        <v>-1666.6666666666667</v>
      </c>
      <c r="K28" s="197">
        <f t="shared" si="88"/>
        <v>-1666.6666666666667</v>
      </c>
      <c r="L28" s="197">
        <f t="shared" si="88"/>
        <v>-1666.6666666666667</v>
      </c>
      <c r="M28" s="197">
        <f t="shared" si="88"/>
        <v>-1666.6666666666667</v>
      </c>
      <c r="N28" s="197">
        <f t="shared" si="88"/>
        <v>-1666.6666666666667</v>
      </c>
      <c r="O28" s="197">
        <f t="shared" si="88"/>
        <v>-1666.6666666666667</v>
      </c>
      <c r="P28" s="197">
        <f t="shared" si="88"/>
        <v>-1666.6666666666667</v>
      </c>
      <c r="Q28" s="197">
        <f t="shared" si="88"/>
        <v>-1666.6666666666667</v>
      </c>
      <c r="R28" s="197">
        <f t="shared" si="88"/>
        <v>-1666.6666666666667</v>
      </c>
      <c r="S28" s="197">
        <f t="shared" si="88"/>
        <v>-1666.6666666666667</v>
      </c>
      <c r="T28" s="197">
        <f t="shared" si="88"/>
        <v>-1666.6666666666667</v>
      </c>
      <c r="U28" s="197">
        <f t="shared" si="88"/>
        <v>-1666.6666666666667</v>
      </c>
      <c r="V28" s="197">
        <f t="shared" si="88"/>
        <v>0</v>
      </c>
      <c r="W28" s="197">
        <f t="shared" si="88"/>
        <v>0</v>
      </c>
      <c r="X28" s="197">
        <f t="shared" si="88"/>
        <v>0</v>
      </c>
      <c r="Y28" s="197">
        <f t="shared" si="88"/>
        <v>0</v>
      </c>
      <c r="Z28" s="197">
        <f t="shared" ref="Z28:BQ33" si="89">-IF(AND($G28&lt;=Z$5,Z$5&lt;=$H28),$C28/$D28,0)</f>
        <v>0</v>
      </c>
      <c r="AA28" s="197">
        <f t="shared" si="89"/>
        <v>0</v>
      </c>
      <c r="AB28" s="197">
        <f t="shared" si="89"/>
        <v>0</v>
      </c>
      <c r="AC28" s="197">
        <f t="shared" si="89"/>
        <v>0</v>
      </c>
      <c r="AD28" s="197">
        <f t="shared" si="89"/>
        <v>0</v>
      </c>
      <c r="AE28" s="197">
        <f t="shared" si="89"/>
        <v>0</v>
      </c>
      <c r="AF28" s="197">
        <f t="shared" si="89"/>
        <v>0</v>
      </c>
      <c r="AG28" s="197">
        <f t="shared" si="89"/>
        <v>0</v>
      </c>
      <c r="AH28" s="197">
        <f t="shared" si="89"/>
        <v>0</v>
      </c>
      <c r="AI28" s="197">
        <f t="shared" si="89"/>
        <v>0</v>
      </c>
      <c r="AJ28" s="197">
        <f t="shared" si="89"/>
        <v>0</v>
      </c>
      <c r="AK28" s="197">
        <f t="shared" si="89"/>
        <v>0</v>
      </c>
      <c r="AL28" s="197">
        <f t="shared" si="89"/>
        <v>0</v>
      </c>
      <c r="AM28" s="197">
        <f t="shared" si="89"/>
        <v>0</v>
      </c>
      <c r="AN28" s="197">
        <f t="shared" si="89"/>
        <v>0</v>
      </c>
      <c r="AO28" s="197">
        <f t="shared" si="89"/>
        <v>0</v>
      </c>
      <c r="AP28" s="197">
        <f t="shared" si="89"/>
        <v>0</v>
      </c>
      <c r="AQ28" s="197">
        <f t="shared" si="89"/>
        <v>0</v>
      </c>
      <c r="AR28" s="197">
        <f t="shared" si="89"/>
        <v>0</v>
      </c>
      <c r="AS28" s="197">
        <f t="shared" si="89"/>
        <v>0</v>
      </c>
      <c r="AT28" s="197">
        <f t="shared" si="89"/>
        <v>0</v>
      </c>
      <c r="AU28" s="197">
        <f t="shared" si="89"/>
        <v>0</v>
      </c>
      <c r="AV28" s="197">
        <f t="shared" si="89"/>
        <v>0</v>
      </c>
      <c r="AW28" s="197">
        <f t="shared" si="89"/>
        <v>0</v>
      </c>
      <c r="AX28" s="197">
        <f t="shared" si="89"/>
        <v>0</v>
      </c>
      <c r="AY28" s="197">
        <f t="shared" si="89"/>
        <v>0</v>
      </c>
      <c r="AZ28" s="197">
        <f t="shared" si="89"/>
        <v>0</v>
      </c>
      <c r="BA28" s="197">
        <f t="shared" si="89"/>
        <v>0</v>
      </c>
      <c r="BB28" s="197">
        <f t="shared" si="89"/>
        <v>0</v>
      </c>
      <c r="BC28" s="197">
        <f t="shared" si="89"/>
        <v>0</v>
      </c>
      <c r="BD28" s="197">
        <f t="shared" si="89"/>
        <v>0</v>
      </c>
      <c r="BE28" s="197">
        <f t="shared" si="89"/>
        <v>0</v>
      </c>
      <c r="BF28" s="197">
        <f t="shared" si="89"/>
        <v>0</v>
      </c>
      <c r="BG28" s="197">
        <f t="shared" si="89"/>
        <v>0</v>
      </c>
      <c r="BH28" s="197">
        <f t="shared" si="89"/>
        <v>0</v>
      </c>
      <c r="BI28" s="197">
        <f t="shared" si="89"/>
        <v>0</v>
      </c>
      <c r="BJ28" s="197">
        <f t="shared" si="89"/>
        <v>0</v>
      </c>
      <c r="BK28" s="197">
        <f t="shared" si="89"/>
        <v>0</v>
      </c>
      <c r="BL28" s="197">
        <f t="shared" si="89"/>
        <v>0</v>
      </c>
      <c r="BM28" s="197">
        <f t="shared" si="89"/>
        <v>0</v>
      </c>
      <c r="BN28" s="197">
        <f t="shared" si="89"/>
        <v>0</v>
      </c>
      <c r="BO28" s="197">
        <f t="shared" si="89"/>
        <v>0</v>
      </c>
      <c r="BP28" s="197">
        <f t="shared" si="89"/>
        <v>0</v>
      </c>
      <c r="BQ28" s="266">
        <f t="shared" si="89"/>
        <v>0</v>
      </c>
    </row>
    <row r="29" spans="1:69" ht="47.25" outlineLevel="1" x14ac:dyDescent="0.25">
      <c r="B29" s="294" t="s">
        <v>395</v>
      </c>
      <c r="C29" s="132">
        <v>8000</v>
      </c>
      <c r="D29" s="281">
        <v>12</v>
      </c>
      <c r="E29" s="279" t="s">
        <v>401</v>
      </c>
      <c r="F29" s="279" t="s">
        <v>388</v>
      </c>
      <c r="G29" s="297">
        <f>+G28</f>
        <v>45322</v>
      </c>
      <c r="H29" s="254">
        <f t="shared" ref="H29:H34" si="90">EOMONTH(G29,D29-1)</f>
        <v>45657</v>
      </c>
      <c r="J29" s="265">
        <f t="shared" si="88"/>
        <v>-666.66666666666663</v>
      </c>
      <c r="K29" s="197">
        <f t="shared" si="88"/>
        <v>-666.66666666666663</v>
      </c>
      <c r="L29" s="197">
        <f t="shared" si="88"/>
        <v>-666.66666666666663</v>
      </c>
      <c r="M29" s="197">
        <f t="shared" si="88"/>
        <v>-666.66666666666663</v>
      </c>
      <c r="N29" s="197">
        <f t="shared" si="88"/>
        <v>-666.66666666666663</v>
      </c>
      <c r="O29" s="197">
        <f t="shared" si="88"/>
        <v>-666.66666666666663</v>
      </c>
      <c r="P29" s="197">
        <f t="shared" si="88"/>
        <v>-666.66666666666663</v>
      </c>
      <c r="Q29" s="197">
        <f t="shared" si="88"/>
        <v>-666.66666666666663</v>
      </c>
      <c r="R29" s="197">
        <f t="shared" si="88"/>
        <v>-666.66666666666663</v>
      </c>
      <c r="S29" s="197">
        <f t="shared" si="88"/>
        <v>-666.66666666666663</v>
      </c>
      <c r="T29" s="197">
        <f t="shared" si="88"/>
        <v>-666.66666666666663</v>
      </c>
      <c r="U29" s="197">
        <f t="shared" si="88"/>
        <v>-666.66666666666663</v>
      </c>
      <c r="V29" s="197">
        <f t="shared" si="88"/>
        <v>0</v>
      </c>
      <c r="W29" s="197">
        <f t="shared" si="88"/>
        <v>0</v>
      </c>
      <c r="X29" s="197">
        <f t="shared" si="88"/>
        <v>0</v>
      </c>
      <c r="Y29" s="197">
        <f t="shared" si="88"/>
        <v>0</v>
      </c>
      <c r="Z29" s="197">
        <f t="shared" si="89"/>
        <v>0</v>
      </c>
      <c r="AA29" s="197">
        <f t="shared" si="89"/>
        <v>0</v>
      </c>
      <c r="AB29" s="197">
        <f t="shared" si="89"/>
        <v>0</v>
      </c>
      <c r="AC29" s="197">
        <f t="shared" si="89"/>
        <v>0</v>
      </c>
      <c r="AD29" s="197">
        <f t="shared" si="89"/>
        <v>0</v>
      </c>
      <c r="AE29" s="197">
        <f t="shared" si="89"/>
        <v>0</v>
      </c>
      <c r="AF29" s="197">
        <f t="shared" si="89"/>
        <v>0</v>
      </c>
      <c r="AG29" s="197">
        <f t="shared" si="89"/>
        <v>0</v>
      </c>
      <c r="AH29" s="197">
        <f t="shared" si="89"/>
        <v>0</v>
      </c>
      <c r="AI29" s="197">
        <f t="shared" si="89"/>
        <v>0</v>
      </c>
      <c r="AJ29" s="197">
        <f t="shared" si="89"/>
        <v>0</v>
      </c>
      <c r="AK29" s="197">
        <f t="shared" si="89"/>
        <v>0</v>
      </c>
      <c r="AL29" s="197">
        <f t="shared" si="89"/>
        <v>0</v>
      </c>
      <c r="AM29" s="197">
        <f t="shared" si="89"/>
        <v>0</v>
      </c>
      <c r="AN29" s="197">
        <f t="shared" si="89"/>
        <v>0</v>
      </c>
      <c r="AO29" s="197">
        <f t="shared" si="89"/>
        <v>0</v>
      </c>
      <c r="AP29" s="197">
        <f t="shared" si="89"/>
        <v>0</v>
      </c>
      <c r="AQ29" s="197">
        <f t="shared" si="89"/>
        <v>0</v>
      </c>
      <c r="AR29" s="197">
        <f t="shared" si="89"/>
        <v>0</v>
      </c>
      <c r="AS29" s="197">
        <f t="shared" si="89"/>
        <v>0</v>
      </c>
      <c r="AT29" s="197">
        <f t="shared" si="89"/>
        <v>0</v>
      </c>
      <c r="AU29" s="197">
        <f t="shared" si="89"/>
        <v>0</v>
      </c>
      <c r="AV29" s="197">
        <f t="shared" si="89"/>
        <v>0</v>
      </c>
      <c r="AW29" s="197">
        <f t="shared" si="89"/>
        <v>0</v>
      </c>
      <c r="AX29" s="197">
        <f t="shared" si="89"/>
        <v>0</v>
      </c>
      <c r="AY29" s="197">
        <f t="shared" si="89"/>
        <v>0</v>
      </c>
      <c r="AZ29" s="197">
        <f t="shared" si="89"/>
        <v>0</v>
      </c>
      <c r="BA29" s="197">
        <f t="shared" si="89"/>
        <v>0</v>
      </c>
      <c r="BB29" s="197">
        <f t="shared" si="89"/>
        <v>0</v>
      </c>
      <c r="BC29" s="197">
        <f t="shared" si="89"/>
        <v>0</v>
      </c>
      <c r="BD29" s="197">
        <f t="shared" si="89"/>
        <v>0</v>
      </c>
      <c r="BE29" s="197">
        <f t="shared" si="89"/>
        <v>0</v>
      </c>
      <c r="BF29" s="197">
        <f t="shared" si="89"/>
        <v>0</v>
      </c>
      <c r="BG29" s="197">
        <f t="shared" si="89"/>
        <v>0</v>
      </c>
      <c r="BH29" s="197">
        <f t="shared" si="89"/>
        <v>0</v>
      </c>
      <c r="BI29" s="197">
        <f t="shared" si="89"/>
        <v>0</v>
      </c>
      <c r="BJ29" s="197">
        <f t="shared" si="89"/>
        <v>0</v>
      </c>
      <c r="BK29" s="197">
        <f t="shared" si="89"/>
        <v>0</v>
      </c>
      <c r="BL29" s="197">
        <f t="shared" si="89"/>
        <v>0</v>
      </c>
      <c r="BM29" s="197">
        <f t="shared" si="89"/>
        <v>0</v>
      </c>
      <c r="BN29" s="197">
        <f t="shared" si="89"/>
        <v>0</v>
      </c>
      <c r="BO29" s="197">
        <f t="shared" si="89"/>
        <v>0</v>
      </c>
      <c r="BP29" s="197">
        <f t="shared" si="89"/>
        <v>0</v>
      </c>
      <c r="BQ29" s="266">
        <f t="shared" si="89"/>
        <v>0</v>
      </c>
    </row>
    <row r="30" spans="1:69" s="206" customFormat="1" ht="47.25" outlineLevel="1" x14ac:dyDescent="0.25">
      <c r="A30" s="104"/>
      <c r="B30" s="295" t="s">
        <v>396</v>
      </c>
      <c r="C30" s="282">
        <v>3000</v>
      </c>
      <c r="D30" s="281">
        <v>12</v>
      </c>
      <c r="E30" s="279" t="s">
        <v>402</v>
      </c>
      <c r="F30" s="279" t="s">
        <v>389</v>
      </c>
      <c r="G30" s="297">
        <f>+G29</f>
        <v>45322</v>
      </c>
      <c r="H30" s="254">
        <f t="shared" si="90"/>
        <v>45657</v>
      </c>
      <c r="J30" s="265">
        <f t="shared" si="88"/>
        <v>-250</v>
      </c>
      <c r="K30" s="197">
        <f t="shared" si="88"/>
        <v>-250</v>
      </c>
      <c r="L30" s="197">
        <f t="shared" si="88"/>
        <v>-250</v>
      </c>
      <c r="M30" s="197">
        <f t="shared" si="88"/>
        <v>-250</v>
      </c>
      <c r="N30" s="197">
        <f t="shared" si="88"/>
        <v>-250</v>
      </c>
      <c r="O30" s="197">
        <f t="shared" si="88"/>
        <v>-250</v>
      </c>
      <c r="P30" s="197">
        <f t="shared" si="88"/>
        <v>-250</v>
      </c>
      <c r="Q30" s="197">
        <f t="shared" si="88"/>
        <v>-250</v>
      </c>
      <c r="R30" s="197">
        <f t="shared" si="88"/>
        <v>-250</v>
      </c>
      <c r="S30" s="197">
        <f t="shared" si="88"/>
        <v>-250</v>
      </c>
      <c r="T30" s="197">
        <f t="shared" si="88"/>
        <v>-250</v>
      </c>
      <c r="U30" s="197">
        <f t="shared" si="88"/>
        <v>-250</v>
      </c>
      <c r="V30" s="197">
        <f t="shared" si="88"/>
        <v>0</v>
      </c>
      <c r="W30" s="197">
        <f t="shared" si="88"/>
        <v>0</v>
      </c>
      <c r="X30" s="197">
        <f t="shared" si="88"/>
        <v>0</v>
      </c>
      <c r="Y30" s="197">
        <f t="shared" si="88"/>
        <v>0</v>
      </c>
      <c r="Z30" s="197">
        <f t="shared" si="89"/>
        <v>0</v>
      </c>
      <c r="AA30" s="197">
        <f t="shared" si="89"/>
        <v>0</v>
      </c>
      <c r="AB30" s="197">
        <f t="shared" si="89"/>
        <v>0</v>
      </c>
      <c r="AC30" s="197">
        <f t="shared" si="89"/>
        <v>0</v>
      </c>
      <c r="AD30" s="197">
        <f t="shared" si="89"/>
        <v>0</v>
      </c>
      <c r="AE30" s="197">
        <f t="shared" si="89"/>
        <v>0</v>
      </c>
      <c r="AF30" s="197">
        <f t="shared" si="89"/>
        <v>0</v>
      </c>
      <c r="AG30" s="197">
        <f t="shared" si="89"/>
        <v>0</v>
      </c>
      <c r="AH30" s="197">
        <f t="shared" si="89"/>
        <v>0</v>
      </c>
      <c r="AI30" s="197">
        <f t="shared" si="89"/>
        <v>0</v>
      </c>
      <c r="AJ30" s="197">
        <f t="shared" si="89"/>
        <v>0</v>
      </c>
      <c r="AK30" s="197">
        <f t="shared" si="89"/>
        <v>0</v>
      </c>
      <c r="AL30" s="197">
        <f t="shared" si="89"/>
        <v>0</v>
      </c>
      <c r="AM30" s="197">
        <f t="shared" si="89"/>
        <v>0</v>
      </c>
      <c r="AN30" s="197">
        <f t="shared" si="89"/>
        <v>0</v>
      </c>
      <c r="AO30" s="197">
        <f t="shared" si="89"/>
        <v>0</v>
      </c>
      <c r="AP30" s="197">
        <f t="shared" si="89"/>
        <v>0</v>
      </c>
      <c r="AQ30" s="197">
        <f t="shared" si="89"/>
        <v>0</v>
      </c>
      <c r="AR30" s="197">
        <f t="shared" si="89"/>
        <v>0</v>
      </c>
      <c r="AS30" s="197">
        <f t="shared" si="89"/>
        <v>0</v>
      </c>
      <c r="AT30" s="197">
        <f t="shared" si="89"/>
        <v>0</v>
      </c>
      <c r="AU30" s="197">
        <f t="shared" si="89"/>
        <v>0</v>
      </c>
      <c r="AV30" s="197">
        <f t="shared" si="89"/>
        <v>0</v>
      </c>
      <c r="AW30" s="197">
        <f t="shared" si="89"/>
        <v>0</v>
      </c>
      <c r="AX30" s="197">
        <f t="shared" si="89"/>
        <v>0</v>
      </c>
      <c r="AY30" s="197">
        <f t="shared" si="89"/>
        <v>0</v>
      </c>
      <c r="AZ30" s="197">
        <f t="shared" si="89"/>
        <v>0</v>
      </c>
      <c r="BA30" s="197">
        <f t="shared" si="89"/>
        <v>0</v>
      </c>
      <c r="BB30" s="197">
        <f t="shared" si="89"/>
        <v>0</v>
      </c>
      <c r="BC30" s="197">
        <f t="shared" si="89"/>
        <v>0</v>
      </c>
      <c r="BD30" s="197">
        <f t="shared" si="89"/>
        <v>0</v>
      </c>
      <c r="BE30" s="197">
        <f t="shared" si="89"/>
        <v>0</v>
      </c>
      <c r="BF30" s="197">
        <f t="shared" si="89"/>
        <v>0</v>
      </c>
      <c r="BG30" s="197">
        <f t="shared" si="89"/>
        <v>0</v>
      </c>
      <c r="BH30" s="197">
        <f t="shared" si="89"/>
        <v>0</v>
      </c>
      <c r="BI30" s="197">
        <f t="shared" si="89"/>
        <v>0</v>
      </c>
      <c r="BJ30" s="197">
        <f t="shared" si="89"/>
        <v>0</v>
      </c>
      <c r="BK30" s="197">
        <f t="shared" si="89"/>
        <v>0</v>
      </c>
      <c r="BL30" s="197">
        <f t="shared" si="89"/>
        <v>0</v>
      </c>
      <c r="BM30" s="197">
        <f t="shared" si="89"/>
        <v>0</v>
      </c>
      <c r="BN30" s="197">
        <f t="shared" si="89"/>
        <v>0</v>
      </c>
      <c r="BO30" s="197">
        <f t="shared" si="89"/>
        <v>0</v>
      </c>
      <c r="BP30" s="197">
        <f t="shared" si="89"/>
        <v>0</v>
      </c>
      <c r="BQ30" s="266">
        <f t="shared" si="89"/>
        <v>0</v>
      </c>
    </row>
    <row r="31" spans="1:69" ht="47.25" outlineLevel="1" x14ac:dyDescent="0.25">
      <c r="B31" s="294" t="s">
        <v>397</v>
      </c>
      <c r="C31" s="132">
        <v>10000</v>
      </c>
      <c r="D31" s="281">
        <v>12</v>
      </c>
      <c r="E31" s="279" t="s">
        <v>403</v>
      </c>
      <c r="F31" s="279" t="s">
        <v>385</v>
      </c>
      <c r="G31" s="297">
        <f>+G30</f>
        <v>45322</v>
      </c>
      <c r="H31" s="254">
        <f t="shared" si="90"/>
        <v>45657</v>
      </c>
      <c r="J31" s="265">
        <f t="shared" si="88"/>
        <v>-833.33333333333337</v>
      </c>
      <c r="K31" s="197">
        <f t="shared" si="88"/>
        <v>-833.33333333333337</v>
      </c>
      <c r="L31" s="197">
        <f t="shared" si="88"/>
        <v>-833.33333333333337</v>
      </c>
      <c r="M31" s="197">
        <f t="shared" si="88"/>
        <v>-833.33333333333337</v>
      </c>
      <c r="N31" s="197">
        <f t="shared" si="88"/>
        <v>-833.33333333333337</v>
      </c>
      <c r="O31" s="197">
        <f t="shared" si="88"/>
        <v>-833.33333333333337</v>
      </c>
      <c r="P31" s="197">
        <f t="shared" si="88"/>
        <v>-833.33333333333337</v>
      </c>
      <c r="Q31" s="197">
        <f t="shared" si="88"/>
        <v>-833.33333333333337</v>
      </c>
      <c r="R31" s="197">
        <f t="shared" si="88"/>
        <v>-833.33333333333337</v>
      </c>
      <c r="S31" s="197">
        <f t="shared" si="88"/>
        <v>-833.33333333333337</v>
      </c>
      <c r="T31" s="197">
        <f t="shared" si="88"/>
        <v>-833.33333333333337</v>
      </c>
      <c r="U31" s="197">
        <f t="shared" si="88"/>
        <v>-833.33333333333337</v>
      </c>
      <c r="V31" s="197">
        <f t="shared" si="88"/>
        <v>0</v>
      </c>
      <c r="W31" s="197">
        <f t="shared" si="88"/>
        <v>0</v>
      </c>
      <c r="X31" s="197">
        <f t="shared" si="88"/>
        <v>0</v>
      </c>
      <c r="Y31" s="197">
        <f t="shared" si="88"/>
        <v>0</v>
      </c>
      <c r="Z31" s="197">
        <f t="shared" si="89"/>
        <v>0</v>
      </c>
      <c r="AA31" s="197">
        <f t="shared" si="89"/>
        <v>0</v>
      </c>
      <c r="AB31" s="197">
        <f t="shared" si="89"/>
        <v>0</v>
      </c>
      <c r="AC31" s="197">
        <f t="shared" si="89"/>
        <v>0</v>
      </c>
      <c r="AD31" s="197">
        <f t="shared" si="89"/>
        <v>0</v>
      </c>
      <c r="AE31" s="197">
        <f t="shared" si="89"/>
        <v>0</v>
      </c>
      <c r="AF31" s="197">
        <f t="shared" si="89"/>
        <v>0</v>
      </c>
      <c r="AG31" s="197">
        <f t="shared" si="89"/>
        <v>0</v>
      </c>
      <c r="AH31" s="197">
        <f t="shared" si="89"/>
        <v>0</v>
      </c>
      <c r="AI31" s="197">
        <f t="shared" si="89"/>
        <v>0</v>
      </c>
      <c r="AJ31" s="197">
        <f t="shared" si="89"/>
        <v>0</v>
      </c>
      <c r="AK31" s="197">
        <f t="shared" si="89"/>
        <v>0</v>
      </c>
      <c r="AL31" s="197">
        <f t="shared" si="89"/>
        <v>0</v>
      </c>
      <c r="AM31" s="197">
        <f t="shared" si="89"/>
        <v>0</v>
      </c>
      <c r="AN31" s="197">
        <f t="shared" si="89"/>
        <v>0</v>
      </c>
      <c r="AO31" s="197">
        <f t="shared" si="89"/>
        <v>0</v>
      </c>
      <c r="AP31" s="197">
        <f t="shared" si="89"/>
        <v>0</v>
      </c>
      <c r="AQ31" s="197">
        <f t="shared" si="89"/>
        <v>0</v>
      </c>
      <c r="AR31" s="197">
        <f t="shared" si="89"/>
        <v>0</v>
      </c>
      <c r="AS31" s="197">
        <f t="shared" si="89"/>
        <v>0</v>
      </c>
      <c r="AT31" s="197">
        <f t="shared" si="89"/>
        <v>0</v>
      </c>
      <c r="AU31" s="197">
        <f t="shared" si="89"/>
        <v>0</v>
      </c>
      <c r="AV31" s="197">
        <f t="shared" si="89"/>
        <v>0</v>
      </c>
      <c r="AW31" s="197">
        <f t="shared" si="89"/>
        <v>0</v>
      </c>
      <c r="AX31" s="197">
        <f t="shared" si="89"/>
        <v>0</v>
      </c>
      <c r="AY31" s="197">
        <f t="shared" si="89"/>
        <v>0</v>
      </c>
      <c r="AZ31" s="197">
        <f t="shared" si="89"/>
        <v>0</v>
      </c>
      <c r="BA31" s="197">
        <f t="shared" si="89"/>
        <v>0</v>
      </c>
      <c r="BB31" s="197">
        <f t="shared" si="89"/>
        <v>0</v>
      </c>
      <c r="BC31" s="197">
        <f t="shared" si="89"/>
        <v>0</v>
      </c>
      <c r="BD31" s="197">
        <f t="shared" si="89"/>
        <v>0</v>
      </c>
      <c r="BE31" s="197">
        <f t="shared" si="89"/>
        <v>0</v>
      </c>
      <c r="BF31" s="197">
        <f t="shared" si="89"/>
        <v>0</v>
      </c>
      <c r="BG31" s="197">
        <f t="shared" si="89"/>
        <v>0</v>
      </c>
      <c r="BH31" s="197">
        <f t="shared" si="89"/>
        <v>0</v>
      </c>
      <c r="BI31" s="197">
        <f t="shared" si="89"/>
        <v>0</v>
      </c>
      <c r="BJ31" s="197">
        <f t="shared" si="89"/>
        <v>0</v>
      </c>
      <c r="BK31" s="197">
        <f t="shared" si="89"/>
        <v>0</v>
      </c>
      <c r="BL31" s="197">
        <f t="shared" si="89"/>
        <v>0</v>
      </c>
      <c r="BM31" s="197">
        <f t="shared" si="89"/>
        <v>0</v>
      </c>
      <c r="BN31" s="197">
        <f t="shared" si="89"/>
        <v>0</v>
      </c>
      <c r="BO31" s="197">
        <f t="shared" si="89"/>
        <v>0</v>
      </c>
      <c r="BP31" s="197">
        <f t="shared" si="89"/>
        <v>0</v>
      </c>
      <c r="BQ31" s="266">
        <f t="shared" si="89"/>
        <v>0</v>
      </c>
    </row>
    <row r="32" spans="1:69" ht="47.25" outlineLevel="1" x14ac:dyDescent="0.25">
      <c r="B32" s="294" t="s">
        <v>394</v>
      </c>
      <c r="C32" s="132">
        <v>60000</v>
      </c>
      <c r="D32" s="281">
        <v>12</v>
      </c>
      <c r="E32" s="279" t="s">
        <v>404</v>
      </c>
      <c r="F32" s="279" t="s">
        <v>387</v>
      </c>
      <c r="G32" s="297">
        <f>+G31</f>
        <v>45322</v>
      </c>
      <c r="H32" s="254">
        <f>EOMONTH(G32,D32-1)</f>
        <v>45657</v>
      </c>
      <c r="J32" s="265">
        <f t="shared" ref="J32:AO32" si="91">-IF(AND($G32&lt;=J$5,J$5&lt;=$H32),$C32/$D32,0)</f>
        <v>-5000</v>
      </c>
      <c r="K32" s="197">
        <f t="shared" si="91"/>
        <v>-5000</v>
      </c>
      <c r="L32" s="197">
        <f t="shared" si="91"/>
        <v>-5000</v>
      </c>
      <c r="M32" s="197">
        <f t="shared" si="91"/>
        <v>-5000</v>
      </c>
      <c r="N32" s="197">
        <f t="shared" si="91"/>
        <v>-5000</v>
      </c>
      <c r="O32" s="197">
        <f t="shared" si="91"/>
        <v>-5000</v>
      </c>
      <c r="P32" s="197">
        <f t="shared" si="91"/>
        <v>-5000</v>
      </c>
      <c r="Q32" s="197">
        <f t="shared" si="91"/>
        <v>-5000</v>
      </c>
      <c r="R32" s="197">
        <f t="shared" si="91"/>
        <v>-5000</v>
      </c>
      <c r="S32" s="197">
        <f t="shared" si="91"/>
        <v>-5000</v>
      </c>
      <c r="T32" s="197">
        <f t="shared" si="91"/>
        <v>-5000</v>
      </c>
      <c r="U32" s="197">
        <f t="shared" si="91"/>
        <v>-5000</v>
      </c>
      <c r="V32" s="197">
        <f t="shared" si="91"/>
        <v>0</v>
      </c>
      <c r="W32" s="197">
        <f t="shared" si="91"/>
        <v>0</v>
      </c>
      <c r="X32" s="197">
        <f t="shared" si="91"/>
        <v>0</v>
      </c>
      <c r="Y32" s="197">
        <f t="shared" si="91"/>
        <v>0</v>
      </c>
      <c r="Z32" s="197">
        <f t="shared" si="91"/>
        <v>0</v>
      </c>
      <c r="AA32" s="197">
        <f t="shared" si="91"/>
        <v>0</v>
      </c>
      <c r="AB32" s="197">
        <f t="shared" si="91"/>
        <v>0</v>
      </c>
      <c r="AC32" s="197">
        <f t="shared" si="91"/>
        <v>0</v>
      </c>
      <c r="AD32" s="197">
        <f t="shared" si="91"/>
        <v>0</v>
      </c>
      <c r="AE32" s="197">
        <f t="shared" si="91"/>
        <v>0</v>
      </c>
      <c r="AF32" s="197">
        <f t="shared" si="91"/>
        <v>0</v>
      </c>
      <c r="AG32" s="197">
        <f t="shared" si="91"/>
        <v>0</v>
      </c>
      <c r="AH32" s="197">
        <f t="shared" si="91"/>
        <v>0</v>
      </c>
      <c r="AI32" s="197">
        <f t="shared" si="91"/>
        <v>0</v>
      </c>
      <c r="AJ32" s="197">
        <f t="shared" si="91"/>
        <v>0</v>
      </c>
      <c r="AK32" s="197">
        <f t="shared" si="91"/>
        <v>0</v>
      </c>
      <c r="AL32" s="197">
        <f t="shared" si="91"/>
        <v>0</v>
      </c>
      <c r="AM32" s="197">
        <f t="shared" si="91"/>
        <v>0</v>
      </c>
      <c r="AN32" s="197">
        <f t="shared" si="91"/>
        <v>0</v>
      </c>
      <c r="AO32" s="197">
        <f t="shared" si="91"/>
        <v>0</v>
      </c>
      <c r="AP32" s="197">
        <f t="shared" si="89"/>
        <v>0</v>
      </c>
      <c r="AQ32" s="197">
        <f t="shared" si="89"/>
        <v>0</v>
      </c>
      <c r="AR32" s="197">
        <f t="shared" si="89"/>
        <v>0</v>
      </c>
      <c r="AS32" s="197">
        <f t="shared" si="89"/>
        <v>0</v>
      </c>
      <c r="AT32" s="197">
        <f t="shared" si="89"/>
        <v>0</v>
      </c>
      <c r="AU32" s="197">
        <f t="shared" si="89"/>
        <v>0</v>
      </c>
      <c r="AV32" s="197">
        <f t="shared" si="89"/>
        <v>0</v>
      </c>
      <c r="AW32" s="197">
        <f t="shared" si="89"/>
        <v>0</v>
      </c>
      <c r="AX32" s="197">
        <f t="shared" si="89"/>
        <v>0</v>
      </c>
      <c r="AY32" s="197">
        <f t="shared" si="89"/>
        <v>0</v>
      </c>
      <c r="AZ32" s="197">
        <f t="shared" si="89"/>
        <v>0</v>
      </c>
      <c r="BA32" s="197">
        <f t="shared" si="89"/>
        <v>0</v>
      </c>
      <c r="BB32" s="197">
        <f t="shared" si="89"/>
        <v>0</v>
      </c>
      <c r="BC32" s="197">
        <f t="shared" si="89"/>
        <v>0</v>
      </c>
      <c r="BD32" s="197">
        <f t="shared" si="89"/>
        <v>0</v>
      </c>
      <c r="BE32" s="197">
        <f t="shared" si="89"/>
        <v>0</v>
      </c>
      <c r="BF32" s="197">
        <f t="shared" si="89"/>
        <v>0</v>
      </c>
      <c r="BG32" s="197">
        <f t="shared" si="89"/>
        <v>0</v>
      </c>
      <c r="BH32" s="197">
        <f t="shared" si="89"/>
        <v>0</v>
      </c>
      <c r="BI32" s="197">
        <f t="shared" si="89"/>
        <v>0</v>
      </c>
      <c r="BJ32" s="197">
        <f t="shared" si="89"/>
        <v>0</v>
      </c>
      <c r="BK32" s="197">
        <f t="shared" si="89"/>
        <v>0</v>
      </c>
      <c r="BL32" s="197">
        <f t="shared" si="89"/>
        <v>0</v>
      </c>
      <c r="BM32" s="197">
        <f t="shared" si="89"/>
        <v>0</v>
      </c>
      <c r="BN32" s="197">
        <f t="shared" si="89"/>
        <v>0</v>
      </c>
      <c r="BO32" s="197">
        <f t="shared" si="89"/>
        <v>0</v>
      </c>
      <c r="BP32" s="197">
        <f t="shared" si="89"/>
        <v>0</v>
      </c>
      <c r="BQ32" s="266">
        <f t="shared" si="89"/>
        <v>0</v>
      </c>
    </row>
    <row r="33" spans="1:69" ht="47.25" outlineLevel="1" x14ac:dyDescent="0.25">
      <c r="B33" s="294" t="s">
        <v>398</v>
      </c>
      <c r="C33" s="132">
        <v>75000</v>
      </c>
      <c r="D33" s="281">
        <v>1</v>
      </c>
      <c r="E33" s="279" t="s">
        <v>405</v>
      </c>
      <c r="F33" s="279" t="s">
        <v>390</v>
      </c>
      <c r="G33" s="297">
        <v>45337</v>
      </c>
      <c r="H33" s="254">
        <f t="shared" si="90"/>
        <v>45351</v>
      </c>
      <c r="J33" s="265">
        <f t="shared" si="88"/>
        <v>0</v>
      </c>
      <c r="K33" s="197">
        <f t="shared" si="88"/>
        <v>-75000</v>
      </c>
      <c r="L33" s="197">
        <f t="shared" si="88"/>
        <v>0</v>
      </c>
      <c r="M33" s="197">
        <f t="shared" si="88"/>
        <v>0</v>
      </c>
      <c r="N33" s="197">
        <f t="shared" si="88"/>
        <v>0</v>
      </c>
      <c r="O33" s="197">
        <f t="shared" si="88"/>
        <v>0</v>
      </c>
      <c r="P33" s="197">
        <f t="shared" si="88"/>
        <v>0</v>
      </c>
      <c r="Q33" s="197">
        <f t="shared" si="88"/>
        <v>0</v>
      </c>
      <c r="R33" s="197">
        <f t="shared" si="88"/>
        <v>0</v>
      </c>
      <c r="S33" s="197">
        <f t="shared" si="88"/>
        <v>0</v>
      </c>
      <c r="T33" s="197">
        <f t="shared" si="88"/>
        <v>0</v>
      </c>
      <c r="U33" s="197">
        <f t="shared" si="88"/>
        <v>0</v>
      </c>
      <c r="V33" s="197">
        <f t="shared" si="88"/>
        <v>0</v>
      </c>
      <c r="W33" s="197">
        <f t="shared" si="88"/>
        <v>0</v>
      </c>
      <c r="X33" s="197">
        <f t="shared" si="88"/>
        <v>0</v>
      </c>
      <c r="Y33" s="197">
        <f t="shared" si="88"/>
        <v>0</v>
      </c>
      <c r="Z33" s="197">
        <f t="shared" si="89"/>
        <v>0</v>
      </c>
      <c r="AA33" s="197">
        <f t="shared" si="89"/>
        <v>0</v>
      </c>
      <c r="AB33" s="197">
        <f t="shared" si="89"/>
        <v>0</v>
      </c>
      <c r="AC33" s="197">
        <f t="shared" si="89"/>
        <v>0</v>
      </c>
      <c r="AD33" s="197">
        <f t="shared" si="89"/>
        <v>0</v>
      </c>
      <c r="AE33" s="197">
        <f t="shared" si="89"/>
        <v>0</v>
      </c>
      <c r="AF33" s="197">
        <f t="shared" si="89"/>
        <v>0</v>
      </c>
      <c r="AG33" s="197">
        <f t="shared" si="89"/>
        <v>0</v>
      </c>
      <c r="AH33" s="197">
        <f t="shared" si="89"/>
        <v>0</v>
      </c>
      <c r="AI33" s="197">
        <f t="shared" si="89"/>
        <v>0</v>
      </c>
      <c r="AJ33" s="197">
        <f t="shared" si="89"/>
        <v>0</v>
      </c>
      <c r="AK33" s="197">
        <f t="shared" si="89"/>
        <v>0</v>
      </c>
      <c r="AL33" s="197">
        <f t="shared" si="89"/>
        <v>0</v>
      </c>
      <c r="AM33" s="197">
        <f t="shared" si="89"/>
        <v>0</v>
      </c>
      <c r="AN33" s="197">
        <f t="shared" si="89"/>
        <v>0</v>
      </c>
      <c r="AO33" s="197">
        <f t="shared" si="89"/>
        <v>0</v>
      </c>
      <c r="AP33" s="197">
        <f t="shared" si="89"/>
        <v>0</v>
      </c>
      <c r="AQ33" s="197">
        <f t="shared" si="89"/>
        <v>0</v>
      </c>
      <c r="AR33" s="197">
        <f t="shared" si="89"/>
        <v>0</v>
      </c>
      <c r="AS33" s="197">
        <f t="shared" si="89"/>
        <v>0</v>
      </c>
      <c r="AT33" s="197">
        <f t="shared" si="89"/>
        <v>0</v>
      </c>
      <c r="AU33" s="197">
        <f t="shared" si="89"/>
        <v>0</v>
      </c>
      <c r="AV33" s="197">
        <f t="shared" si="89"/>
        <v>0</v>
      </c>
      <c r="AW33" s="197">
        <f t="shared" si="89"/>
        <v>0</v>
      </c>
      <c r="AX33" s="197">
        <f t="shared" si="89"/>
        <v>0</v>
      </c>
      <c r="AY33" s="197">
        <f t="shared" si="89"/>
        <v>0</v>
      </c>
      <c r="AZ33" s="197">
        <f t="shared" si="89"/>
        <v>0</v>
      </c>
      <c r="BA33" s="197">
        <f t="shared" si="89"/>
        <v>0</v>
      </c>
      <c r="BB33" s="197">
        <f t="shared" si="89"/>
        <v>0</v>
      </c>
      <c r="BC33" s="197">
        <f t="shared" si="89"/>
        <v>0</v>
      </c>
      <c r="BD33" s="197">
        <f t="shared" si="89"/>
        <v>0</v>
      </c>
      <c r="BE33" s="197">
        <f t="shared" si="89"/>
        <v>0</v>
      </c>
      <c r="BF33" s="197">
        <f t="shared" si="89"/>
        <v>0</v>
      </c>
      <c r="BG33" s="197">
        <f t="shared" si="89"/>
        <v>0</v>
      </c>
      <c r="BH33" s="197">
        <f t="shared" si="89"/>
        <v>0</v>
      </c>
      <c r="BI33" s="197">
        <f t="shared" ref="BI33:BQ33" si="92">-IF(AND($G33&lt;=BI$5,BI$5&lt;=$H33),$C33/$D33,0)</f>
        <v>0</v>
      </c>
      <c r="BJ33" s="197">
        <f t="shared" si="92"/>
        <v>0</v>
      </c>
      <c r="BK33" s="197">
        <f t="shared" si="92"/>
        <v>0</v>
      </c>
      <c r="BL33" s="197">
        <f t="shared" si="92"/>
        <v>0</v>
      </c>
      <c r="BM33" s="197">
        <f t="shared" si="92"/>
        <v>0</v>
      </c>
      <c r="BN33" s="197">
        <f t="shared" si="92"/>
        <v>0</v>
      </c>
      <c r="BO33" s="197">
        <f t="shared" si="92"/>
        <v>0</v>
      </c>
      <c r="BP33" s="197">
        <f t="shared" si="92"/>
        <v>0</v>
      </c>
      <c r="BQ33" s="266">
        <f t="shared" si="92"/>
        <v>0</v>
      </c>
    </row>
    <row r="34" spans="1:69" ht="32.25" outlineLevel="1" thickBot="1" x14ac:dyDescent="0.3">
      <c r="B34" s="296" t="s">
        <v>399</v>
      </c>
      <c r="C34" s="140">
        <v>30000</v>
      </c>
      <c r="D34" s="283">
        <v>12</v>
      </c>
      <c r="E34" s="280" t="s">
        <v>724</v>
      </c>
      <c r="F34" s="280" t="s">
        <v>391</v>
      </c>
      <c r="G34" s="298">
        <v>45321</v>
      </c>
      <c r="H34" s="256">
        <f t="shared" si="90"/>
        <v>45657</v>
      </c>
      <c r="J34" s="267">
        <f t="shared" si="88"/>
        <v>-2500</v>
      </c>
      <c r="K34" s="249">
        <f t="shared" si="88"/>
        <v>-2500</v>
      </c>
      <c r="L34" s="249">
        <f t="shared" si="88"/>
        <v>-2500</v>
      </c>
      <c r="M34" s="249">
        <f t="shared" si="88"/>
        <v>-2500</v>
      </c>
      <c r="N34" s="249">
        <f t="shared" si="88"/>
        <v>-2500</v>
      </c>
      <c r="O34" s="249">
        <f t="shared" si="88"/>
        <v>-2500</v>
      </c>
      <c r="P34" s="249">
        <f t="shared" si="88"/>
        <v>-2500</v>
      </c>
      <c r="Q34" s="249">
        <f t="shared" si="88"/>
        <v>-2500</v>
      </c>
      <c r="R34" s="249">
        <f t="shared" si="88"/>
        <v>-2500</v>
      </c>
      <c r="S34" s="249">
        <f t="shared" si="88"/>
        <v>-2500</v>
      </c>
      <c r="T34" s="249">
        <f t="shared" si="88"/>
        <v>-2500</v>
      </c>
      <c r="U34" s="249">
        <f t="shared" si="88"/>
        <v>-2500</v>
      </c>
      <c r="V34" s="249">
        <f t="shared" si="88"/>
        <v>0</v>
      </c>
      <c r="W34" s="249">
        <f t="shared" si="88"/>
        <v>0</v>
      </c>
      <c r="X34" s="249">
        <f t="shared" si="88"/>
        <v>0</v>
      </c>
      <c r="Y34" s="249">
        <f t="shared" si="88"/>
        <v>0</v>
      </c>
      <c r="Z34" s="249">
        <f t="shared" ref="Z34:BQ34" si="93">-IF(AND($G34&lt;=Z$5,Z$5&lt;=$H34),$C34/$D34,0)</f>
        <v>0</v>
      </c>
      <c r="AA34" s="249">
        <f t="shared" si="93"/>
        <v>0</v>
      </c>
      <c r="AB34" s="249">
        <f t="shared" si="93"/>
        <v>0</v>
      </c>
      <c r="AC34" s="249">
        <f t="shared" si="93"/>
        <v>0</v>
      </c>
      <c r="AD34" s="249">
        <f t="shared" si="93"/>
        <v>0</v>
      </c>
      <c r="AE34" s="249">
        <f t="shared" si="93"/>
        <v>0</v>
      </c>
      <c r="AF34" s="249">
        <f t="shared" si="93"/>
        <v>0</v>
      </c>
      <c r="AG34" s="249">
        <f t="shared" si="93"/>
        <v>0</v>
      </c>
      <c r="AH34" s="249">
        <f t="shared" si="93"/>
        <v>0</v>
      </c>
      <c r="AI34" s="249">
        <f t="shared" si="93"/>
        <v>0</v>
      </c>
      <c r="AJ34" s="249">
        <f t="shared" si="93"/>
        <v>0</v>
      </c>
      <c r="AK34" s="249">
        <f t="shared" si="93"/>
        <v>0</v>
      </c>
      <c r="AL34" s="249">
        <f t="shared" si="93"/>
        <v>0</v>
      </c>
      <c r="AM34" s="249">
        <f t="shared" si="93"/>
        <v>0</v>
      </c>
      <c r="AN34" s="249">
        <f t="shared" si="93"/>
        <v>0</v>
      </c>
      <c r="AO34" s="249">
        <f t="shared" si="93"/>
        <v>0</v>
      </c>
      <c r="AP34" s="249">
        <f t="shared" si="93"/>
        <v>0</v>
      </c>
      <c r="AQ34" s="249">
        <f t="shared" si="93"/>
        <v>0</v>
      </c>
      <c r="AR34" s="249">
        <f t="shared" si="93"/>
        <v>0</v>
      </c>
      <c r="AS34" s="249">
        <f t="shared" si="93"/>
        <v>0</v>
      </c>
      <c r="AT34" s="249">
        <f t="shared" si="93"/>
        <v>0</v>
      </c>
      <c r="AU34" s="249">
        <f t="shared" si="93"/>
        <v>0</v>
      </c>
      <c r="AV34" s="249">
        <f t="shared" si="93"/>
        <v>0</v>
      </c>
      <c r="AW34" s="249">
        <f t="shared" si="93"/>
        <v>0</v>
      </c>
      <c r="AX34" s="249">
        <f t="shared" si="93"/>
        <v>0</v>
      </c>
      <c r="AY34" s="249">
        <f t="shared" si="93"/>
        <v>0</v>
      </c>
      <c r="AZ34" s="249">
        <f t="shared" si="93"/>
        <v>0</v>
      </c>
      <c r="BA34" s="249">
        <f t="shared" si="93"/>
        <v>0</v>
      </c>
      <c r="BB34" s="249">
        <f t="shared" si="93"/>
        <v>0</v>
      </c>
      <c r="BC34" s="249">
        <f t="shared" si="93"/>
        <v>0</v>
      </c>
      <c r="BD34" s="249">
        <f t="shared" si="93"/>
        <v>0</v>
      </c>
      <c r="BE34" s="249">
        <f t="shared" si="93"/>
        <v>0</v>
      </c>
      <c r="BF34" s="249">
        <f t="shared" si="93"/>
        <v>0</v>
      </c>
      <c r="BG34" s="249">
        <f t="shared" si="93"/>
        <v>0</v>
      </c>
      <c r="BH34" s="249">
        <f t="shared" si="93"/>
        <v>0</v>
      </c>
      <c r="BI34" s="249">
        <f t="shared" si="93"/>
        <v>0</v>
      </c>
      <c r="BJ34" s="249">
        <f t="shared" si="93"/>
        <v>0</v>
      </c>
      <c r="BK34" s="249">
        <f t="shared" si="93"/>
        <v>0</v>
      </c>
      <c r="BL34" s="249">
        <f t="shared" si="93"/>
        <v>0</v>
      </c>
      <c r="BM34" s="249">
        <f t="shared" si="93"/>
        <v>0</v>
      </c>
      <c r="BN34" s="249">
        <f t="shared" si="93"/>
        <v>0</v>
      </c>
      <c r="BO34" s="249">
        <f t="shared" si="93"/>
        <v>0</v>
      </c>
      <c r="BP34" s="249">
        <f t="shared" si="93"/>
        <v>0</v>
      </c>
      <c r="BQ34" s="268">
        <f t="shared" si="93"/>
        <v>0</v>
      </c>
    </row>
    <row r="35" spans="1:69" outlineLevel="1" x14ac:dyDescent="0.25">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c r="BC35" s="228"/>
      <c r="BD35" s="228"/>
      <c r="BE35" s="228"/>
      <c r="BF35" s="228"/>
      <c r="BG35" s="228"/>
      <c r="BH35" s="228"/>
      <c r="BI35" s="228"/>
      <c r="BJ35" s="228"/>
      <c r="BK35" s="228"/>
      <c r="BL35" s="228"/>
      <c r="BM35" s="228"/>
      <c r="BN35" s="228"/>
      <c r="BO35" s="228"/>
      <c r="BP35" s="228"/>
      <c r="BQ35" s="228"/>
    </row>
    <row r="36" spans="1:69" s="126" customFormat="1" ht="16.5" thickBot="1" x14ac:dyDescent="0.3">
      <c r="B36" s="126" t="s">
        <v>41</v>
      </c>
      <c r="C36" s="300">
        <f>SUM(C28:C35)</f>
        <v>206000</v>
      </c>
      <c r="H36" s="341" t="str">
        <f>"Total"&amp;RIGHT(B26,LEN(B26)-2)</f>
        <v>Total Costs</v>
      </c>
      <c r="I36" s="246"/>
      <c r="J36" s="207">
        <f t="shared" ref="J36:AO36" si="94">SUM(J28:J35)</f>
        <v>-10916.666666666668</v>
      </c>
      <c r="K36" s="207">
        <f t="shared" si="94"/>
        <v>-85916.666666666672</v>
      </c>
      <c r="L36" s="207">
        <f t="shared" si="94"/>
        <v>-10916.666666666668</v>
      </c>
      <c r="M36" s="207">
        <f t="shared" si="94"/>
        <v>-10916.666666666668</v>
      </c>
      <c r="N36" s="207">
        <f t="shared" si="94"/>
        <v>-10916.666666666668</v>
      </c>
      <c r="O36" s="207">
        <f t="shared" si="94"/>
        <v>-10916.666666666668</v>
      </c>
      <c r="P36" s="207">
        <f t="shared" si="94"/>
        <v>-10916.666666666668</v>
      </c>
      <c r="Q36" s="207">
        <f t="shared" si="94"/>
        <v>-10916.666666666668</v>
      </c>
      <c r="R36" s="207">
        <f t="shared" si="94"/>
        <v>-10916.666666666668</v>
      </c>
      <c r="S36" s="207">
        <f t="shared" si="94"/>
        <v>-10916.666666666668</v>
      </c>
      <c r="T36" s="207">
        <f t="shared" si="94"/>
        <v>-10916.666666666668</v>
      </c>
      <c r="U36" s="207">
        <f t="shared" si="94"/>
        <v>-10916.666666666668</v>
      </c>
      <c r="V36" s="207">
        <f t="shared" si="94"/>
        <v>0</v>
      </c>
      <c r="W36" s="207">
        <f t="shared" si="94"/>
        <v>0</v>
      </c>
      <c r="X36" s="207">
        <f t="shared" si="94"/>
        <v>0</v>
      </c>
      <c r="Y36" s="207">
        <f t="shared" si="94"/>
        <v>0</v>
      </c>
      <c r="Z36" s="207">
        <f t="shared" si="94"/>
        <v>0</v>
      </c>
      <c r="AA36" s="207">
        <f t="shared" si="94"/>
        <v>0</v>
      </c>
      <c r="AB36" s="207">
        <f t="shared" si="94"/>
        <v>0</v>
      </c>
      <c r="AC36" s="207">
        <f t="shared" si="94"/>
        <v>0</v>
      </c>
      <c r="AD36" s="207">
        <f t="shared" si="94"/>
        <v>0</v>
      </c>
      <c r="AE36" s="207">
        <f t="shared" si="94"/>
        <v>0</v>
      </c>
      <c r="AF36" s="207">
        <f t="shared" si="94"/>
        <v>0</v>
      </c>
      <c r="AG36" s="207">
        <f t="shared" si="94"/>
        <v>0</v>
      </c>
      <c r="AH36" s="207">
        <f t="shared" si="94"/>
        <v>0</v>
      </c>
      <c r="AI36" s="207">
        <f t="shared" si="94"/>
        <v>0</v>
      </c>
      <c r="AJ36" s="207">
        <f t="shared" si="94"/>
        <v>0</v>
      </c>
      <c r="AK36" s="207">
        <f t="shared" si="94"/>
        <v>0</v>
      </c>
      <c r="AL36" s="207">
        <f t="shared" si="94"/>
        <v>0</v>
      </c>
      <c r="AM36" s="207">
        <f t="shared" si="94"/>
        <v>0</v>
      </c>
      <c r="AN36" s="207">
        <f t="shared" si="94"/>
        <v>0</v>
      </c>
      <c r="AO36" s="207">
        <f t="shared" si="94"/>
        <v>0</v>
      </c>
      <c r="AP36" s="207">
        <f t="shared" ref="AP36:BQ36" si="95">SUM(AP28:AP35)</f>
        <v>0</v>
      </c>
      <c r="AQ36" s="207">
        <f t="shared" si="95"/>
        <v>0</v>
      </c>
      <c r="AR36" s="207">
        <f t="shared" si="95"/>
        <v>0</v>
      </c>
      <c r="AS36" s="207">
        <f t="shared" si="95"/>
        <v>0</v>
      </c>
      <c r="AT36" s="207">
        <f t="shared" si="95"/>
        <v>0</v>
      </c>
      <c r="AU36" s="207">
        <f t="shared" si="95"/>
        <v>0</v>
      </c>
      <c r="AV36" s="207">
        <f t="shared" si="95"/>
        <v>0</v>
      </c>
      <c r="AW36" s="207">
        <f t="shared" si="95"/>
        <v>0</v>
      </c>
      <c r="AX36" s="207">
        <f t="shared" si="95"/>
        <v>0</v>
      </c>
      <c r="AY36" s="207">
        <f t="shared" si="95"/>
        <v>0</v>
      </c>
      <c r="AZ36" s="207">
        <f t="shared" si="95"/>
        <v>0</v>
      </c>
      <c r="BA36" s="207">
        <f t="shared" si="95"/>
        <v>0</v>
      </c>
      <c r="BB36" s="207">
        <f t="shared" si="95"/>
        <v>0</v>
      </c>
      <c r="BC36" s="207">
        <f t="shared" si="95"/>
        <v>0</v>
      </c>
      <c r="BD36" s="207">
        <f t="shared" si="95"/>
        <v>0</v>
      </c>
      <c r="BE36" s="207">
        <f t="shared" si="95"/>
        <v>0</v>
      </c>
      <c r="BF36" s="207">
        <f t="shared" si="95"/>
        <v>0</v>
      </c>
      <c r="BG36" s="207">
        <f t="shared" si="95"/>
        <v>0</v>
      </c>
      <c r="BH36" s="207">
        <f t="shared" si="95"/>
        <v>0</v>
      </c>
      <c r="BI36" s="207">
        <f t="shared" si="95"/>
        <v>0</v>
      </c>
      <c r="BJ36" s="207">
        <f t="shared" si="95"/>
        <v>0</v>
      </c>
      <c r="BK36" s="207">
        <f t="shared" si="95"/>
        <v>0</v>
      </c>
      <c r="BL36" s="207">
        <f t="shared" si="95"/>
        <v>0</v>
      </c>
      <c r="BM36" s="207">
        <f t="shared" si="95"/>
        <v>0</v>
      </c>
      <c r="BN36" s="207">
        <f t="shared" si="95"/>
        <v>0</v>
      </c>
      <c r="BO36" s="207">
        <f t="shared" si="95"/>
        <v>0</v>
      </c>
      <c r="BP36" s="207">
        <f t="shared" si="95"/>
        <v>0</v>
      </c>
      <c r="BQ36" s="207">
        <f t="shared" si="95"/>
        <v>0</v>
      </c>
    </row>
    <row r="37" spans="1:69" outlineLevel="1" x14ac:dyDescent="0.25">
      <c r="B37" s="208"/>
      <c r="C37" s="209"/>
      <c r="E37" s="209"/>
      <c r="F37" s="209"/>
      <c r="G37" s="210"/>
      <c r="H37" s="342" t="str">
        <f>"ITD "&amp;H36</f>
        <v>ITD Total Costs</v>
      </c>
      <c r="J37" s="211">
        <f>+J36</f>
        <v>-10916.666666666668</v>
      </c>
      <c r="K37" s="211">
        <f t="shared" ref="K37:AP37" si="96">+K36+J37</f>
        <v>-96833.333333333343</v>
      </c>
      <c r="L37" s="211">
        <f t="shared" si="96"/>
        <v>-107750.00000000001</v>
      </c>
      <c r="M37" s="211">
        <f t="shared" si="96"/>
        <v>-118666.66666666669</v>
      </c>
      <c r="N37" s="211">
        <f t="shared" si="96"/>
        <v>-129583.33333333336</v>
      </c>
      <c r="O37" s="211">
        <f t="shared" si="96"/>
        <v>-140500.00000000003</v>
      </c>
      <c r="P37" s="211">
        <f t="shared" si="96"/>
        <v>-151416.66666666669</v>
      </c>
      <c r="Q37" s="211">
        <f t="shared" si="96"/>
        <v>-162333.33333333334</v>
      </c>
      <c r="R37" s="211">
        <f t="shared" si="96"/>
        <v>-173250</v>
      </c>
      <c r="S37" s="211">
        <f t="shared" si="96"/>
        <v>-184166.66666666666</v>
      </c>
      <c r="T37" s="211">
        <f t="shared" si="96"/>
        <v>-195083.33333333331</v>
      </c>
      <c r="U37" s="211">
        <f t="shared" si="96"/>
        <v>-205999.99999999997</v>
      </c>
      <c r="V37" s="211">
        <f t="shared" si="96"/>
        <v>-205999.99999999997</v>
      </c>
      <c r="W37" s="211">
        <f t="shared" si="96"/>
        <v>-205999.99999999997</v>
      </c>
      <c r="X37" s="211">
        <f t="shared" si="96"/>
        <v>-205999.99999999997</v>
      </c>
      <c r="Y37" s="211">
        <f t="shared" si="96"/>
        <v>-205999.99999999997</v>
      </c>
      <c r="Z37" s="211">
        <f t="shared" si="96"/>
        <v>-205999.99999999997</v>
      </c>
      <c r="AA37" s="211">
        <f t="shared" si="96"/>
        <v>-205999.99999999997</v>
      </c>
      <c r="AB37" s="211">
        <f t="shared" si="96"/>
        <v>-205999.99999999997</v>
      </c>
      <c r="AC37" s="211">
        <f t="shared" si="96"/>
        <v>-205999.99999999997</v>
      </c>
      <c r="AD37" s="211">
        <f t="shared" si="96"/>
        <v>-205999.99999999997</v>
      </c>
      <c r="AE37" s="211">
        <f t="shared" si="96"/>
        <v>-205999.99999999997</v>
      </c>
      <c r="AF37" s="211">
        <f t="shared" si="96"/>
        <v>-205999.99999999997</v>
      </c>
      <c r="AG37" s="211">
        <f t="shared" si="96"/>
        <v>-205999.99999999997</v>
      </c>
      <c r="AH37" s="211">
        <f t="shared" si="96"/>
        <v>-205999.99999999997</v>
      </c>
      <c r="AI37" s="211">
        <f t="shared" si="96"/>
        <v>-205999.99999999997</v>
      </c>
      <c r="AJ37" s="211">
        <f t="shared" si="96"/>
        <v>-205999.99999999997</v>
      </c>
      <c r="AK37" s="211">
        <f t="shared" si="96"/>
        <v>-205999.99999999997</v>
      </c>
      <c r="AL37" s="211">
        <f t="shared" si="96"/>
        <v>-205999.99999999997</v>
      </c>
      <c r="AM37" s="211">
        <f t="shared" si="96"/>
        <v>-205999.99999999997</v>
      </c>
      <c r="AN37" s="211">
        <f t="shared" si="96"/>
        <v>-205999.99999999997</v>
      </c>
      <c r="AO37" s="211">
        <f t="shared" si="96"/>
        <v>-205999.99999999997</v>
      </c>
      <c r="AP37" s="211">
        <f t="shared" si="96"/>
        <v>-205999.99999999997</v>
      </c>
      <c r="AQ37" s="211">
        <f t="shared" ref="AQ37:BQ37" si="97">+AQ36+AP37</f>
        <v>-205999.99999999997</v>
      </c>
      <c r="AR37" s="211">
        <f t="shared" si="97"/>
        <v>-205999.99999999997</v>
      </c>
      <c r="AS37" s="211">
        <f t="shared" si="97"/>
        <v>-205999.99999999997</v>
      </c>
      <c r="AT37" s="211">
        <f t="shared" si="97"/>
        <v>-205999.99999999997</v>
      </c>
      <c r="AU37" s="211">
        <f t="shared" si="97"/>
        <v>-205999.99999999997</v>
      </c>
      <c r="AV37" s="211">
        <f t="shared" si="97"/>
        <v>-205999.99999999997</v>
      </c>
      <c r="AW37" s="211">
        <f t="shared" si="97"/>
        <v>-205999.99999999997</v>
      </c>
      <c r="AX37" s="211">
        <f t="shared" si="97"/>
        <v>-205999.99999999997</v>
      </c>
      <c r="AY37" s="211">
        <f t="shared" si="97"/>
        <v>-205999.99999999997</v>
      </c>
      <c r="AZ37" s="211">
        <f t="shared" si="97"/>
        <v>-205999.99999999997</v>
      </c>
      <c r="BA37" s="211">
        <f t="shared" si="97"/>
        <v>-205999.99999999997</v>
      </c>
      <c r="BB37" s="211">
        <f t="shared" si="97"/>
        <v>-205999.99999999997</v>
      </c>
      <c r="BC37" s="211">
        <f t="shared" si="97"/>
        <v>-205999.99999999997</v>
      </c>
      <c r="BD37" s="211">
        <f t="shared" si="97"/>
        <v>-205999.99999999997</v>
      </c>
      <c r="BE37" s="211">
        <f t="shared" si="97"/>
        <v>-205999.99999999997</v>
      </c>
      <c r="BF37" s="211">
        <f t="shared" si="97"/>
        <v>-205999.99999999997</v>
      </c>
      <c r="BG37" s="211">
        <f t="shared" si="97"/>
        <v>-205999.99999999997</v>
      </c>
      <c r="BH37" s="211">
        <f t="shared" si="97"/>
        <v>-205999.99999999997</v>
      </c>
      <c r="BI37" s="211">
        <f t="shared" si="97"/>
        <v>-205999.99999999997</v>
      </c>
      <c r="BJ37" s="211">
        <f t="shared" si="97"/>
        <v>-205999.99999999997</v>
      </c>
      <c r="BK37" s="211">
        <f t="shared" si="97"/>
        <v>-205999.99999999997</v>
      </c>
      <c r="BL37" s="211">
        <f t="shared" si="97"/>
        <v>-205999.99999999997</v>
      </c>
      <c r="BM37" s="211">
        <f t="shared" si="97"/>
        <v>-205999.99999999997</v>
      </c>
      <c r="BN37" s="211">
        <f t="shared" si="97"/>
        <v>-205999.99999999997</v>
      </c>
      <c r="BO37" s="211">
        <f t="shared" si="97"/>
        <v>-205999.99999999997</v>
      </c>
      <c r="BP37" s="211">
        <f t="shared" si="97"/>
        <v>-205999.99999999997</v>
      </c>
      <c r="BQ37" s="211">
        <f t="shared" si="97"/>
        <v>-205999.99999999997</v>
      </c>
    </row>
    <row r="38" spans="1:69" s="126" customFormat="1" ht="16.5" outlineLevel="1" thickBot="1" x14ac:dyDescent="0.3">
      <c r="A38" s="104"/>
      <c r="I38" s="243"/>
      <c r="J38" s="226"/>
      <c r="K38" s="226"/>
      <c r="L38" s="226"/>
      <c r="M38" s="226"/>
      <c r="N38" s="226"/>
      <c r="O38" s="226"/>
      <c r="P38" s="226"/>
      <c r="Q38" s="226"/>
      <c r="R38" s="226"/>
      <c r="S38" s="226"/>
      <c r="T38" s="226"/>
      <c r="U38" s="443">
        <f>+U37+C36+SUM(V34:BQ34)+V32+W32+X32</f>
        <v>2.9103830456733704E-11</v>
      </c>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row>
    <row r="39" spans="1:69" s="229" customFormat="1" ht="16.5" thickBot="1" x14ac:dyDescent="0.3">
      <c r="B39" s="194" t="s">
        <v>255</v>
      </c>
      <c r="C39" s="194"/>
      <c r="D39" s="194"/>
      <c r="E39" s="194"/>
      <c r="F39" s="194"/>
      <c r="G39" s="194"/>
      <c r="H39" s="194"/>
      <c r="I39" s="244"/>
      <c r="J39" s="303"/>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304"/>
      <c r="AO39" s="304"/>
      <c r="AP39" s="304"/>
      <c r="AQ39" s="304"/>
      <c r="AR39" s="304"/>
      <c r="AS39" s="304"/>
      <c r="AT39" s="304"/>
      <c r="AU39" s="304"/>
      <c r="AV39" s="304"/>
      <c r="AW39" s="304"/>
      <c r="AX39" s="304"/>
      <c r="AY39" s="304"/>
      <c r="AZ39" s="304"/>
      <c r="BA39" s="304"/>
      <c r="BB39" s="304"/>
      <c r="BC39" s="304"/>
      <c r="BD39" s="304"/>
      <c r="BE39" s="304"/>
      <c r="BF39" s="304"/>
      <c r="BG39" s="304"/>
      <c r="BH39" s="304"/>
      <c r="BI39" s="304"/>
      <c r="BJ39" s="304"/>
      <c r="BK39" s="304"/>
      <c r="BL39" s="304"/>
      <c r="BM39" s="304"/>
      <c r="BN39" s="304"/>
      <c r="BO39" s="304"/>
      <c r="BP39" s="304"/>
      <c r="BQ39" s="305"/>
    </row>
    <row r="40" spans="1:69" outlineLevel="1" x14ac:dyDescent="0.25">
      <c r="B40" s="212" t="s">
        <v>254</v>
      </c>
      <c r="C40" s="213" t="s">
        <v>200</v>
      </c>
      <c r="D40" s="213" t="s">
        <v>77</v>
      </c>
      <c r="E40" s="213" t="str">
        <f>+E27</f>
        <v>Description</v>
      </c>
      <c r="F40" s="213" t="str">
        <f>+F27</f>
        <v>Notes</v>
      </c>
      <c r="G40" s="213" t="s">
        <v>247</v>
      </c>
      <c r="H40" s="214" t="s">
        <v>246</v>
      </c>
      <c r="J40" s="262">
        <f t="shared" ref="J40:AO40" si="98">+J5</f>
        <v>45322</v>
      </c>
      <c r="K40" s="263">
        <f t="shared" si="98"/>
        <v>45351</v>
      </c>
      <c r="L40" s="263">
        <f t="shared" si="98"/>
        <v>45382</v>
      </c>
      <c r="M40" s="263">
        <f t="shared" si="98"/>
        <v>45412</v>
      </c>
      <c r="N40" s="263">
        <f t="shared" si="98"/>
        <v>45443</v>
      </c>
      <c r="O40" s="263">
        <f t="shared" si="98"/>
        <v>45473</v>
      </c>
      <c r="P40" s="263">
        <f t="shared" si="98"/>
        <v>45504</v>
      </c>
      <c r="Q40" s="263">
        <f t="shared" si="98"/>
        <v>45535</v>
      </c>
      <c r="R40" s="263">
        <f t="shared" si="98"/>
        <v>45565</v>
      </c>
      <c r="S40" s="263">
        <f t="shared" si="98"/>
        <v>45596</v>
      </c>
      <c r="T40" s="263">
        <f t="shared" si="98"/>
        <v>45626</v>
      </c>
      <c r="U40" s="263">
        <f t="shared" si="98"/>
        <v>45657</v>
      </c>
      <c r="V40" s="263">
        <f t="shared" si="98"/>
        <v>45688</v>
      </c>
      <c r="W40" s="263">
        <f t="shared" si="98"/>
        <v>45716</v>
      </c>
      <c r="X40" s="263">
        <f t="shared" si="98"/>
        <v>45747</v>
      </c>
      <c r="Y40" s="263">
        <f t="shared" si="98"/>
        <v>45777</v>
      </c>
      <c r="Z40" s="263">
        <f t="shared" si="98"/>
        <v>45808</v>
      </c>
      <c r="AA40" s="263">
        <f t="shared" si="98"/>
        <v>45838</v>
      </c>
      <c r="AB40" s="263">
        <f t="shared" si="98"/>
        <v>45869</v>
      </c>
      <c r="AC40" s="263">
        <f t="shared" si="98"/>
        <v>45900</v>
      </c>
      <c r="AD40" s="263">
        <f t="shared" si="98"/>
        <v>45930</v>
      </c>
      <c r="AE40" s="263">
        <f t="shared" si="98"/>
        <v>45961</v>
      </c>
      <c r="AF40" s="263">
        <f t="shared" si="98"/>
        <v>45991</v>
      </c>
      <c r="AG40" s="263">
        <f t="shared" si="98"/>
        <v>46022</v>
      </c>
      <c r="AH40" s="263">
        <f t="shared" si="98"/>
        <v>46053</v>
      </c>
      <c r="AI40" s="263">
        <f t="shared" si="98"/>
        <v>46081</v>
      </c>
      <c r="AJ40" s="263">
        <f t="shared" si="98"/>
        <v>46112</v>
      </c>
      <c r="AK40" s="263">
        <f t="shared" si="98"/>
        <v>46142</v>
      </c>
      <c r="AL40" s="263">
        <f t="shared" si="98"/>
        <v>46173</v>
      </c>
      <c r="AM40" s="263">
        <f t="shared" si="98"/>
        <v>46203</v>
      </c>
      <c r="AN40" s="263">
        <f t="shared" si="98"/>
        <v>46234</v>
      </c>
      <c r="AO40" s="263">
        <f t="shared" si="98"/>
        <v>46265</v>
      </c>
      <c r="AP40" s="263">
        <f t="shared" ref="AP40:BQ40" si="99">+AP5</f>
        <v>46295</v>
      </c>
      <c r="AQ40" s="263">
        <f t="shared" si="99"/>
        <v>46326</v>
      </c>
      <c r="AR40" s="263">
        <f t="shared" si="99"/>
        <v>46356</v>
      </c>
      <c r="AS40" s="263">
        <f t="shared" si="99"/>
        <v>46387</v>
      </c>
      <c r="AT40" s="263">
        <f t="shared" si="99"/>
        <v>46418</v>
      </c>
      <c r="AU40" s="263">
        <f t="shared" si="99"/>
        <v>46446</v>
      </c>
      <c r="AV40" s="263">
        <f t="shared" si="99"/>
        <v>46477</v>
      </c>
      <c r="AW40" s="263">
        <f t="shared" si="99"/>
        <v>46507</v>
      </c>
      <c r="AX40" s="263">
        <f t="shared" si="99"/>
        <v>46538</v>
      </c>
      <c r="AY40" s="263">
        <f t="shared" si="99"/>
        <v>46568</v>
      </c>
      <c r="AZ40" s="263">
        <f t="shared" si="99"/>
        <v>46599</v>
      </c>
      <c r="BA40" s="263">
        <f t="shared" si="99"/>
        <v>46630</v>
      </c>
      <c r="BB40" s="263">
        <f t="shared" si="99"/>
        <v>46660</v>
      </c>
      <c r="BC40" s="263">
        <f t="shared" si="99"/>
        <v>46691</v>
      </c>
      <c r="BD40" s="263">
        <f t="shared" si="99"/>
        <v>46721</v>
      </c>
      <c r="BE40" s="263">
        <f t="shared" si="99"/>
        <v>46752</v>
      </c>
      <c r="BF40" s="263">
        <f t="shared" si="99"/>
        <v>46783</v>
      </c>
      <c r="BG40" s="263">
        <f t="shared" si="99"/>
        <v>46812</v>
      </c>
      <c r="BH40" s="263">
        <f t="shared" si="99"/>
        <v>46843</v>
      </c>
      <c r="BI40" s="263">
        <f t="shared" si="99"/>
        <v>46873</v>
      </c>
      <c r="BJ40" s="263">
        <f t="shared" si="99"/>
        <v>46904</v>
      </c>
      <c r="BK40" s="263">
        <f t="shared" si="99"/>
        <v>46934</v>
      </c>
      <c r="BL40" s="263">
        <f t="shared" si="99"/>
        <v>46965</v>
      </c>
      <c r="BM40" s="263">
        <f t="shared" si="99"/>
        <v>46996</v>
      </c>
      <c r="BN40" s="263">
        <f t="shared" si="99"/>
        <v>47026</v>
      </c>
      <c r="BO40" s="263">
        <f t="shared" si="99"/>
        <v>47057</v>
      </c>
      <c r="BP40" s="263">
        <f t="shared" si="99"/>
        <v>47087</v>
      </c>
      <c r="BQ40" s="264">
        <f t="shared" si="99"/>
        <v>47118</v>
      </c>
    </row>
    <row r="41" spans="1:69" outlineLevel="1" x14ac:dyDescent="0.25">
      <c r="B41" s="215" t="str">
        <f>+'Business Plan'!C34</f>
        <v>Laundromat</v>
      </c>
      <c r="C41" s="196">
        <f>+'Business Plan'!D38</f>
        <v>18333.333333333332</v>
      </c>
      <c r="D41" s="196" t="s">
        <v>252</v>
      </c>
      <c r="E41" s="198" t="s">
        <v>113</v>
      </c>
      <c r="F41" s="198"/>
      <c r="G41" s="199">
        <f>EOMONTH('Business Plan'!D39,1)</f>
        <v>45351</v>
      </c>
      <c r="H41" s="216">
        <f>+'Business Plan'!D40</f>
        <v>47118</v>
      </c>
      <c r="I41" s="246">
        <f>SUM(J41:BQ41)</f>
        <v>1081666.6666666674</v>
      </c>
      <c r="J41" s="265">
        <f t="shared" ref="J41:Y43" si="100">IF(AND(J$40&gt;=$G41,J$40&lt;=$H41),$C41,0)</f>
        <v>0</v>
      </c>
      <c r="K41" s="197">
        <f t="shared" si="100"/>
        <v>18333.333333333332</v>
      </c>
      <c r="L41" s="197">
        <f t="shared" si="100"/>
        <v>18333.333333333332</v>
      </c>
      <c r="M41" s="197">
        <f t="shared" si="100"/>
        <v>18333.333333333332</v>
      </c>
      <c r="N41" s="197">
        <f t="shared" si="100"/>
        <v>18333.333333333332</v>
      </c>
      <c r="O41" s="197">
        <f t="shared" si="100"/>
        <v>18333.333333333332</v>
      </c>
      <c r="P41" s="197">
        <f t="shared" si="100"/>
        <v>18333.333333333332</v>
      </c>
      <c r="Q41" s="197">
        <f t="shared" si="100"/>
        <v>18333.333333333332</v>
      </c>
      <c r="R41" s="197">
        <f t="shared" si="100"/>
        <v>18333.333333333332</v>
      </c>
      <c r="S41" s="197">
        <f t="shared" si="100"/>
        <v>18333.333333333332</v>
      </c>
      <c r="T41" s="197">
        <f t="shared" si="100"/>
        <v>18333.333333333332</v>
      </c>
      <c r="U41" s="197">
        <f t="shared" si="100"/>
        <v>18333.333333333332</v>
      </c>
      <c r="V41" s="197">
        <f t="shared" si="100"/>
        <v>18333.333333333332</v>
      </c>
      <c r="W41" s="197">
        <f t="shared" si="100"/>
        <v>18333.333333333332</v>
      </c>
      <c r="X41" s="197">
        <f t="shared" si="100"/>
        <v>18333.333333333332</v>
      </c>
      <c r="Y41" s="197">
        <f t="shared" si="100"/>
        <v>18333.333333333332</v>
      </c>
      <c r="Z41" s="197">
        <f t="shared" ref="Z41:BQ42" si="101">IF(AND(Z$40&gt;=$G41,Z$40&lt;=$H41),$C41,0)</f>
        <v>18333.333333333332</v>
      </c>
      <c r="AA41" s="197">
        <f t="shared" si="101"/>
        <v>18333.333333333332</v>
      </c>
      <c r="AB41" s="197">
        <f t="shared" si="101"/>
        <v>18333.333333333332</v>
      </c>
      <c r="AC41" s="197">
        <f t="shared" si="101"/>
        <v>18333.333333333332</v>
      </c>
      <c r="AD41" s="197">
        <f t="shared" si="101"/>
        <v>18333.333333333332</v>
      </c>
      <c r="AE41" s="197">
        <f t="shared" si="101"/>
        <v>18333.333333333332</v>
      </c>
      <c r="AF41" s="197">
        <f t="shared" si="101"/>
        <v>18333.333333333332</v>
      </c>
      <c r="AG41" s="197">
        <f t="shared" si="101"/>
        <v>18333.333333333332</v>
      </c>
      <c r="AH41" s="197">
        <f t="shared" si="101"/>
        <v>18333.333333333332</v>
      </c>
      <c r="AI41" s="197">
        <f t="shared" si="101"/>
        <v>18333.333333333332</v>
      </c>
      <c r="AJ41" s="197">
        <f t="shared" si="101"/>
        <v>18333.333333333332</v>
      </c>
      <c r="AK41" s="197">
        <f t="shared" si="101"/>
        <v>18333.333333333332</v>
      </c>
      <c r="AL41" s="197">
        <f t="shared" si="101"/>
        <v>18333.333333333332</v>
      </c>
      <c r="AM41" s="197">
        <f t="shared" si="101"/>
        <v>18333.333333333332</v>
      </c>
      <c r="AN41" s="197">
        <f t="shared" si="101"/>
        <v>18333.333333333332</v>
      </c>
      <c r="AO41" s="197">
        <f t="shared" si="101"/>
        <v>18333.333333333332</v>
      </c>
      <c r="AP41" s="197">
        <f t="shared" si="101"/>
        <v>18333.333333333332</v>
      </c>
      <c r="AQ41" s="197">
        <f t="shared" si="101"/>
        <v>18333.333333333332</v>
      </c>
      <c r="AR41" s="197">
        <f t="shared" si="101"/>
        <v>18333.333333333332</v>
      </c>
      <c r="AS41" s="197">
        <f t="shared" si="101"/>
        <v>18333.333333333332</v>
      </c>
      <c r="AT41" s="197">
        <f t="shared" si="101"/>
        <v>18333.333333333332</v>
      </c>
      <c r="AU41" s="197">
        <f t="shared" si="101"/>
        <v>18333.333333333332</v>
      </c>
      <c r="AV41" s="197">
        <f t="shared" si="101"/>
        <v>18333.333333333332</v>
      </c>
      <c r="AW41" s="197">
        <f t="shared" si="101"/>
        <v>18333.333333333332</v>
      </c>
      <c r="AX41" s="197">
        <f t="shared" si="101"/>
        <v>18333.333333333332</v>
      </c>
      <c r="AY41" s="197">
        <f t="shared" si="101"/>
        <v>18333.333333333332</v>
      </c>
      <c r="AZ41" s="197">
        <f t="shared" si="101"/>
        <v>18333.333333333332</v>
      </c>
      <c r="BA41" s="197">
        <f t="shared" si="101"/>
        <v>18333.333333333332</v>
      </c>
      <c r="BB41" s="197">
        <f t="shared" si="101"/>
        <v>18333.333333333332</v>
      </c>
      <c r="BC41" s="197">
        <f t="shared" si="101"/>
        <v>18333.333333333332</v>
      </c>
      <c r="BD41" s="197">
        <f t="shared" si="101"/>
        <v>18333.333333333332</v>
      </c>
      <c r="BE41" s="197">
        <f t="shared" si="101"/>
        <v>18333.333333333332</v>
      </c>
      <c r="BF41" s="197">
        <f t="shared" si="101"/>
        <v>18333.333333333332</v>
      </c>
      <c r="BG41" s="197">
        <f t="shared" si="101"/>
        <v>18333.333333333332</v>
      </c>
      <c r="BH41" s="197">
        <f t="shared" si="101"/>
        <v>18333.333333333332</v>
      </c>
      <c r="BI41" s="197">
        <f t="shared" si="101"/>
        <v>18333.333333333332</v>
      </c>
      <c r="BJ41" s="197">
        <f t="shared" si="101"/>
        <v>18333.333333333332</v>
      </c>
      <c r="BK41" s="197">
        <f t="shared" si="101"/>
        <v>18333.333333333332</v>
      </c>
      <c r="BL41" s="197">
        <f t="shared" si="101"/>
        <v>18333.333333333332</v>
      </c>
      <c r="BM41" s="197">
        <f t="shared" si="101"/>
        <v>18333.333333333332</v>
      </c>
      <c r="BN41" s="197">
        <f t="shared" si="101"/>
        <v>18333.333333333332</v>
      </c>
      <c r="BO41" s="197">
        <f t="shared" si="101"/>
        <v>18333.333333333332</v>
      </c>
      <c r="BP41" s="197">
        <f t="shared" si="101"/>
        <v>18333.333333333332</v>
      </c>
      <c r="BQ41" s="266">
        <f t="shared" si="101"/>
        <v>18333.333333333332</v>
      </c>
    </row>
    <row r="42" spans="1:69" ht="15.75" customHeight="1" outlineLevel="1" x14ac:dyDescent="0.25">
      <c r="B42" s="215" t="str">
        <f>+'Business Plan'!C46</f>
        <v>AI Tech</v>
      </c>
      <c r="C42" s="196">
        <f>+'Business Plan'!D50/12</f>
        <v>0</v>
      </c>
      <c r="D42" s="196" t="s">
        <v>253</v>
      </c>
      <c r="E42" s="198" t="s">
        <v>113</v>
      </c>
      <c r="F42" s="198"/>
      <c r="G42" s="199">
        <f>EOMONTH('Business Plan'!D51,1)</f>
        <v>45351</v>
      </c>
      <c r="H42" s="216">
        <f>+'Business Plan'!D52</f>
        <v>45626</v>
      </c>
      <c r="I42" s="246">
        <f t="shared" ref="I42:I45" si="102">SUM(J42:BQ42)</f>
        <v>0</v>
      </c>
      <c r="J42" s="265">
        <f t="shared" si="100"/>
        <v>0</v>
      </c>
      <c r="K42" s="197">
        <f t="shared" si="100"/>
        <v>0</v>
      </c>
      <c r="L42" s="197">
        <f t="shared" si="100"/>
        <v>0</v>
      </c>
      <c r="M42" s="197">
        <f t="shared" si="100"/>
        <v>0</v>
      </c>
      <c r="N42" s="197">
        <f t="shared" si="100"/>
        <v>0</v>
      </c>
      <c r="O42" s="197">
        <f t="shared" si="100"/>
        <v>0</v>
      </c>
      <c r="P42" s="197">
        <f t="shared" si="100"/>
        <v>0</v>
      </c>
      <c r="Q42" s="197">
        <f t="shared" si="100"/>
        <v>0</v>
      </c>
      <c r="R42" s="197">
        <f t="shared" si="100"/>
        <v>0</v>
      </c>
      <c r="S42" s="197">
        <f t="shared" si="100"/>
        <v>0</v>
      </c>
      <c r="T42" s="197">
        <f t="shared" si="100"/>
        <v>0</v>
      </c>
      <c r="U42" s="197">
        <f t="shared" si="100"/>
        <v>0</v>
      </c>
      <c r="V42" s="197">
        <f t="shared" si="100"/>
        <v>0</v>
      </c>
      <c r="W42" s="197">
        <f t="shared" si="100"/>
        <v>0</v>
      </c>
      <c r="X42" s="197">
        <f t="shared" si="100"/>
        <v>0</v>
      </c>
      <c r="Y42" s="197">
        <f t="shared" si="100"/>
        <v>0</v>
      </c>
      <c r="Z42" s="197">
        <f t="shared" si="101"/>
        <v>0</v>
      </c>
      <c r="AA42" s="197">
        <f t="shared" si="101"/>
        <v>0</v>
      </c>
      <c r="AB42" s="197">
        <f t="shared" si="101"/>
        <v>0</v>
      </c>
      <c r="AC42" s="197">
        <f t="shared" si="101"/>
        <v>0</v>
      </c>
      <c r="AD42" s="197">
        <f t="shared" si="101"/>
        <v>0</v>
      </c>
      <c r="AE42" s="197">
        <f t="shared" si="101"/>
        <v>0</v>
      </c>
      <c r="AF42" s="197">
        <f t="shared" si="101"/>
        <v>0</v>
      </c>
      <c r="AG42" s="197">
        <f t="shared" si="101"/>
        <v>0</v>
      </c>
      <c r="AH42" s="197">
        <f t="shared" si="101"/>
        <v>0</v>
      </c>
      <c r="AI42" s="197">
        <f t="shared" si="101"/>
        <v>0</v>
      </c>
      <c r="AJ42" s="197">
        <f t="shared" si="101"/>
        <v>0</v>
      </c>
      <c r="AK42" s="197">
        <f t="shared" si="101"/>
        <v>0</v>
      </c>
      <c r="AL42" s="197">
        <f t="shared" si="101"/>
        <v>0</v>
      </c>
      <c r="AM42" s="197">
        <f t="shared" si="101"/>
        <v>0</v>
      </c>
      <c r="AN42" s="197">
        <f t="shared" si="101"/>
        <v>0</v>
      </c>
      <c r="AO42" s="197">
        <f t="shared" si="101"/>
        <v>0</v>
      </c>
      <c r="AP42" s="197">
        <f t="shared" si="101"/>
        <v>0</v>
      </c>
      <c r="AQ42" s="197">
        <f t="shared" si="101"/>
        <v>0</v>
      </c>
      <c r="AR42" s="197">
        <f t="shared" si="101"/>
        <v>0</v>
      </c>
      <c r="AS42" s="197">
        <f t="shared" si="101"/>
        <v>0</v>
      </c>
      <c r="AT42" s="197">
        <f t="shared" si="101"/>
        <v>0</v>
      </c>
      <c r="AU42" s="197">
        <f t="shared" si="101"/>
        <v>0</v>
      </c>
      <c r="AV42" s="197">
        <f t="shared" si="101"/>
        <v>0</v>
      </c>
      <c r="AW42" s="197">
        <f t="shared" si="101"/>
        <v>0</v>
      </c>
      <c r="AX42" s="197">
        <f t="shared" si="101"/>
        <v>0</v>
      </c>
      <c r="AY42" s="197">
        <f t="shared" si="101"/>
        <v>0</v>
      </c>
      <c r="AZ42" s="197">
        <f t="shared" si="101"/>
        <v>0</v>
      </c>
      <c r="BA42" s="197">
        <f t="shared" si="101"/>
        <v>0</v>
      </c>
      <c r="BB42" s="197">
        <f t="shared" si="101"/>
        <v>0</v>
      </c>
      <c r="BC42" s="197">
        <f t="shared" si="101"/>
        <v>0</v>
      </c>
      <c r="BD42" s="197">
        <f t="shared" si="101"/>
        <v>0</v>
      </c>
      <c r="BE42" s="197">
        <f t="shared" si="101"/>
        <v>0</v>
      </c>
      <c r="BF42" s="197">
        <f t="shared" si="101"/>
        <v>0</v>
      </c>
      <c r="BG42" s="197">
        <f t="shared" si="101"/>
        <v>0</v>
      </c>
      <c r="BH42" s="197">
        <f t="shared" si="101"/>
        <v>0</v>
      </c>
      <c r="BI42" s="197">
        <f t="shared" si="101"/>
        <v>0</v>
      </c>
      <c r="BJ42" s="197">
        <f t="shared" si="101"/>
        <v>0</v>
      </c>
      <c r="BK42" s="197">
        <f t="shared" si="101"/>
        <v>0</v>
      </c>
      <c r="BL42" s="197">
        <f t="shared" si="101"/>
        <v>0</v>
      </c>
      <c r="BM42" s="197">
        <f t="shared" si="101"/>
        <v>0</v>
      </c>
      <c r="BN42" s="197">
        <f t="shared" si="101"/>
        <v>0</v>
      </c>
      <c r="BO42" s="197">
        <f t="shared" si="101"/>
        <v>0</v>
      </c>
      <c r="BP42" s="197">
        <f t="shared" si="101"/>
        <v>0</v>
      </c>
      <c r="BQ42" s="266">
        <f t="shared" si="101"/>
        <v>0</v>
      </c>
    </row>
    <row r="43" spans="1:69" ht="15.75" customHeight="1" outlineLevel="1" x14ac:dyDescent="0.25">
      <c r="B43" s="215" t="str">
        <f>'Business Plan'!C58&amp;" Dividend Income"</f>
        <v>E-commerce Dividend Income</v>
      </c>
      <c r="C43" s="196">
        <f>+'Business Plan'!D64</f>
        <v>25000</v>
      </c>
      <c r="D43" s="196" t="s">
        <v>253</v>
      </c>
      <c r="E43" s="198" t="s">
        <v>113</v>
      </c>
      <c r="F43" s="198"/>
      <c r="G43" s="199">
        <f>EOMONTH('Business Plan'!D67,1)</f>
        <v>45473</v>
      </c>
      <c r="H43" s="216">
        <f>+'Business Plan'!D68</f>
        <v>46538</v>
      </c>
      <c r="I43" s="246">
        <f t="shared" si="102"/>
        <v>458333.33333333337</v>
      </c>
      <c r="J43" s="265">
        <f t="shared" si="100"/>
        <v>0</v>
      </c>
      <c r="K43" s="197">
        <f t="shared" si="100"/>
        <v>0</v>
      </c>
      <c r="L43" s="197">
        <f t="shared" si="100"/>
        <v>0</v>
      </c>
      <c r="M43" s="197">
        <f t="shared" si="100"/>
        <v>0</v>
      </c>
      <c r="N43" s="197">
        <f t="shared" si="100"/>
        <v>0</v>
      </c>
      <c r="O43" s="310">
        <f>IF(AND(O$40&gt;=$G43,O$40&lt;=$H43),$C43,0)/3</f>
        <v>8333.3333333333339</v>
      </c>
      <c r="P43" s="197">
        <f t="shared" ref="P43:BQ43" si="103">IF(+DATE(YEAR(P40),CEILING(MONTH(P40),3)+1,0)=P40,$C43,0)</f>
        <v>0</v>
      </c>
      <c r="Q43" s="197">
        <f t="shared" si="103"/>
        <v>0</v>
      </c>
      <c r="R43" s="197">
        <f t="shared" si="103"/>
        <v>25000</v>
      </c>
      <c r="S43" s="197">
        <f t="shared" si="103"/>
        <v>0</v>
      </c>
      <c r="T43" s="197">
        <f t="shared" si="103"/>
        <v>0</v>
      </c>
      <c r="U43" s="197">
        <f t="shared" si="103"/>
        <v>25000</v>
      </c>
      <c r="V43" s="197">
        <f t="shared" si="103"/>
        <v>0</v>
      </c>
      <c r="W43" s="197">
        <f t="shared" si="103"/>
        <v>0</v>
      </c>
      <c r="X43" s="197">
        <f t="shared" si="103"/>
        <v>25000</v>
      </c>
      <c r="Y43" s="197">
        <f t="shared" si="103"/>
        <v>0</v>
      </c>
      <c r="Z43" s="197">
        <f t="shared" si="103"/>
        <v>0</v>
      </c>
      <c r="AA43" s="197">
        <f t="shared" si="103"/>
        <v>25000</v>
      </c>
      <c r="AB43" s="197">
        <f t="shared" si="103"/>
        <v>0</v>
      </c>
      <c r="AC43" s="197">
        <f t="shared" si="103"/>
        <v>0</v>
      </c>
      <c r="AD43" s="197">
        <f t="shared" si="103"/>
        <v>25000</v>
      </c>
      <c r="AE43" s="197">
        <f t="shared" si="103"/>
        <v>0</v>
      </c>
      <c r="AF43" s="197">
        <f t="shared" si="103"/>
        <v>0</v>
      </c>
      <c r="AG43" s="197">
        <f t="shared" si="103"/>
        <v>25000</v>
      </c>
      <c r="AH43" s="197">
        <f t="shared" si="103"/>
        <v>0</v>
      </c>
      <c r="AI43" s="197">
        <f t="shared" si="103"/>
        <v>0</v>
      </c>
      <c r="AJ43" s="197">
        <f t="shared" si="103"/>
        <v>25000</v>
      </c>
      <c r="AK43" s="197">
        <f t="shared" si="103"/>
        <v>0</v>
      </c>
      <c r="AL43" s="197">
        <f t="shared" si="103"/>
        <v>0</v>
      </c>
      <c r="AM43" s="197">
        <f t="shared" si="103"/>
        <v>25000</v>
      </c>
      <c r="AN43" s="197">
        <f t="shared" si="103"/>
        <v>0</v>
      </c>
      <c r="AO43" s="197">
        <f t="shared" si="103"/>
        <v>0</v>
      </c>
      <c r="AP43" s="197">
        <f t="shared" si="103"/>
        <v>25000</v>
      </c>
      <c r="AQ43" s="197">
        <f t="shared" si="103"/>
        <v>0</v>
      </c>
      <c r="AR43" s="197">
        <f t="shared" si="103"/>
        <v>0</v>
      </c>
      <c r="AS43" s="197">
        <f t="shared" si="103"/>
        <v>25000</v>
      </c>
      <c r="AT43" s="197">
        <f t="shared" si="103"/>
        <v>0</v>
      </c>
      <c r="AU43" s="197">
        <f t="shared" si="103"/>
        <v>0</v>
      </c>
      <c r="AV43" s="197">
        <f t="shared" si="103"/>
        <v>25000</v>
      </c>
      <c r="AW43" s="197">
        <f t="shared" si="103"/>
        <v>0</v>
      </c>
      <c r="AX43" s="197">
        <f t="shared" si="103"/>
        <v>0</v>
      </c>
      <c r="AY43" s="197">
        <f t="shared" si="103"/>
        <v>25000</v>
      </c>
      <c r="AZ43" s="197">
        <f t="shared" si="103"/>
        <v>0</v>
      </c>
      <c r="BA43" s="197">
        <f t="shared" si="103"/>
        <v>0</v>
      </c>
      <c r="BB43" s="197">
        <f t="shared" si="103"/>
        <v>25000</v>
      </c>
      <c r="BC43" s="197">
        <f t="shared" si="103"/>
        <v>0</v>
      </c>
      <c r="BD43" s="197">
        <f t="shared" si="103"/>
        <v>0</v>
      </c>
      <c r="BE43" s="197">
        <f t="shared" si="103"/>
        <v>25000</v>
      </c>
      <c r="BF43" s="197">
        <f t="shared" si="103"/>
        <v>0</v>
      </c>
      <c r="BG43" s="197">
        <f t="shared" si="103"/>
        <v>0</v>
      </c>
      <c r="BH43" s="197">
        <f t="shared" si="103"/>
        <v>25000</v>
      </c>
      <c r="BI43" s="197">
        <f t="shared" si="103"/>
        <v>0</v>
      </c>
      <c r="BJ43" s="197">
        <f t="shared" si="103"/>
        <v>0</v>
      </c>
      <c r="BK43" s="197">
        <f t="shared" si="103"/>
        <v>25000</v>
      </c>
      <c r="BL43" s="197">
        <f t="shared" si="103"/>
        <v>0</v>
      </c>
      <c r="BM43" s="197">
        <f t="shared" si="103"/>
        <v>0</v>
      </c>
      <c r="BN43" s="197">
        <f t="shared" si="103"/>
        <v>25000</v>
      </c>
      <c r="BO43" s="197">
        <f t="shared" si="103"/>
        <v>0</v>
      </c>
      <c r="BP43" s="197">
        <f t="shared" si="103"/>
        <v>0</v>
      </c>
      <c r="BQ43" s="266">
        <f t="shared" si="103"/>
        <v>25000</v>
      </c>
    </row>
    <row r="44" spans="1:69" s="206" customFormat="1" ht="15.75" customHeight="1" outlineLevel="1" x14ac:dyDescent="0.25">
      <c r="B44" s="255" t="str">
        <f>'Business Plan'!C58&amp;" Interest Income"</f>
        <v>E-commerce Interest Income</v>
      </c>
      <c r="C44" s="252"/>
      <c r="D44" s="252" t="s">
        <v>252</v>
      </c>
      <c r="E44" s="227" t="s">
        <v>21</v>
      </c>
      <c r="F44" s="227" t="s">
        <v>406</v>
      </c>
      <c r="G44" s="253">
        <f>+'E-Commerce Loan'!D17</f>
        <v>45473</v>
      </c>
      <c r="H44" s="301">
        <f>+'Business Plan'!D68</f>
        <v>46538</v>
      </c>
      <c r="I44" s="246">
        <f t="shared" si="102"/>
        <v>256218.31322302108</v>
      </c>
      <c r="J44" s="269">
        <f>+IF(AND(J$16&lt;=$H44,J$16&gt;=$G44),_xlfn.IFNA(VLOOKUP(J$16,'E-Commerce Loan'!$D$16:$H$52,4,0),0),0)</f>
        <v>0</v>
      </c>
      <c r="K44" s="218">
        <f>+IF(AND(K$16&lt;=$H44,K$16&gt;=$G44),_xlfn.IFNA(VLOOKUP(K$16,'E-Commerce Loan'!$D$16:$H$52,4,0),0),0)</f>
        <v>0</v>
      </c>
      <c r="L44" s="218">
        <f>+IF(AND(L$16&lt;=$H44,L$16&gt;=$G44),_xlfn.IFNA(VLOOKUP(L$16,'E-Commerce Loan'!$D$16:$H$52,4,0),0),0)</f>
        <v>0</v>
      </c>
      <c r="M44" s="218">
        <f>+IF(AND(M$16&lt;=$H44,M$16&gt;=$G44),_xlfn.IFNA(VLOOKUP(M$16,'E-Commerce Loan'!$D$16:$H$52,4,0),0),0)</f>
        <v>0</v>
      </c>
      <c r="N44" s="218">
        <f>+IF(AND(N$16&lt;=$H44,N$16&gt;=$G44),_xlfn.IFNA(VLOOKUP(N$16,'E-Commerce Loan'!$D$16:$H$52,4,0),0),0)</f>
        <v>0</v>
      </c>
      <c r="O44" s="218">
        <f>+IF(AND(O$16&lt;=$H44,O$16&gt;=$G44),_xlfn.IFNA(VLOOKUP(O$16,'E-Commerce Loan'!$D$16:$H$52,4,0),0),0)</f>
        <v>13333.333333333334</v>
      </c>
      <c r="P44" s="218">
        <f>+IF(AND(P$16&lt;=$H44,P$16&gt;=$G44),_xlfn.IFNA(VLOOKUP(P$16,'E-Commerce Loan'!$D$16:$H$52,4,0),0),0)</f>
        <v>13004.404016069811</v>
      </c>
      <c r="Q44" s="218">
        <f>+IF(AND(Q$16&lt;=$H44,Q$16&gt;=$G44),_xlfn.IFNA(VLOOKUP(Q$16,'E-Commerce Loan'!$D$16:$H$52,4,0),0),0)</f>
        <v>12673.281836691198</v>
      </c>
      <c r="R44" s="218">
        <f>+IF(AND(R$16&lt;=$H44,R$16&gt;=$G44),_xlfn.IFNA(VLOOKUP(R$16,'E-Commerce Loan'!$D$16:$H$52,4,0),0),0)</f>
        <v>12339.952176116729</v>
      </c>
      <c r="S44" s="218">
        <f>+IF(AND(S$16&lt;=$H44,S$16&gt;=$G44),_xlfn.IFNA(VLOOKUP(S$16,'E-Commerce Loan'!$D$16:$H$52,4,0),0),0)</f>
        <v>12004.400317805093</v>
      </c>
      <c r="T44" s="218">
        <f>+IF(AND(T$16&lt;=$H44,T$16&gt;=$G44),_xlfn.IFNA(VLOOKUP(T$16,'E-Commerce Loan'!$D$16:$H$52,4,0),0),0)</f>
        <v>11666.611447104717</v>
      </c>
      <c r="U44" s="218">
        <f>+IF(AND(U$16&lt;=$H44,U$16&gt;=$G44),_xlfn.IFNA(VLOOKUP(U$16,'E-Commerce Loan'!$D$16:$H$52,4,0),0),0)</f>
        <v>11326.570650599671</v>
      </c>
      <c r="V44" s="218">
        <f>+IF(AND(V$16&lt;=$H44,V$16&gt;=$G44),_xlfn.IFNA(VLOOKUP(V$16,'E-Commerce Loan'!$D$16:$H$52,4,0),0),0)</f>
        <v>10984.262915451256</v>
      </c>
      <c r="W44" s="218">
        <f>+IF(AND(W$16&lt;=$H44,W$16&gt;=$G44),_xlfn.IFNA(VLOOKUP(W$16,'E-Commerce Loan'!$D$16:$H$52,4,0),0),0)</f>
        <v>10639.673128735189</v>
      </c>
      <c r="X44" s="218">
        <f>+IF(AND(X$16&lt;=$H44,X$16&gt;=$G44),_xlfn.IFNA(VLOOKUP(X$16,'E-Commerce Loan'!$D$16:$H$52,4,0),0),0)</f>
        <v>10292.786076774344</v>
      </c>
      <c r="Y44" s="218">
        <f>+IF(AND(Y$16&lt;=$H44,Y$16&gt;=$G44),_xlfn.IFNA(VLOOKUP(Y$16,'E-Commerce Loan'!$D$16:$H$52,4,0),0),0)</f>
        <v>9943.5864444670951</v>
      </c>
      <c r="Z44" s="218">
        <f>+IF(AND(Z$16&lt;=$H44,Z$16&gt;=$G44),_xlfn.IFNA(VLOOKUP(Z$16,'E-Commerce Loan'!$D$16:$H$52,4,0),0),0)</f>
        <v>9592.0588146111313</v>
      </c>
      <c r="AA44" s="218">
        <f>+IF(AND(AA$16&lt;=$H44,AA$16&gt;=$G44),_xlfn.IFNA(VLOOKUP(AA$16,'E-Commerce Loan'!$D$16:$H$52,4,0),0),0)</f>
        <v>9238.1876672227936</v>
      </c>
      <c r="AB44" s="218">
        <f>+IF(AND(AB$16&lt;=$H44,AB$16&gt;=$G44),_xlfn.IFNA(VLOOKUP(AB$16,'E-Commerce Loan'!$D$16:$H$52,4,0),0),0)</f>
        <v>8881.9573788518683</v>
      </c>
      <c r="AC44" s="218">
        <f>+IF(AND(AC$16&lt;=$H44,AC$16&gt;=$G44),_xlfn.IFNA(VLOOKUP(AC$16,'E-Commerce Loan'!$D$16:$H$52,4,0),0),0)</f>
        <v>8523.3522218918024</v>
      </c>
      <c r="AD44" s="218">
        <f>+IF(AND(AD$16&lt;=$H44,AD$16&gt;=$G44),_xlfn.IFNA(VLOOKUP(AD$16,'E-Commerce Loan'!$D$16:$H$52,4,0),0),0)</f>
        <v>8162.3563638853366</v>
      </c>
      <c r="AE44" s="218">
        <f>+IF(AND(AE$16&lt;=$H44,AE$16&gt;=$G44),_xlfn.IFNA(VLOOKUP(AE$16,'E-Commerce Loan'!$D$16:$H$52,4,0),0),0)</f>
        <v>7798.9538668254936</v>
      </c>
      <c r="AF44" s="218">
        <f>+IF(AND(AF$16&lt;=$H44,AF$16&gt;=$G44),_xlfn.IFNA(VLOOKUP(AF$16,'E-Commerce Loan'!$D$16:$H$52,4,0),0),0)</f>
        <v>7433.1286864519179</v>
      </c>
      <c r="AG44" s="218">
        <f>+IF(AND(AG$16&lt;=$H44,AG$16&gt;=$G44),_xlfn.IFNA(VLOOKUP(AG$16,'E-Commerce Loan'!$D$16:$H$52,4,0),0),0)</f>
        <v>7064.8646715425202</v>
      </c>
      <c r="AH44" s="218">
        <f>+IF(AND(AH$16&lt;=$H44,AH$16&gt;=$G44),_xlfn.IFNA(VLOOKUP(AH$16,'E-Commerce Loan'!$D$16:$H$52,4,0),0),0)</f>
        <v>6694.1455632003926</v>
      </c>
      <c r="AI44" s="218">
        <f>+IF(AND(AI$16&lt;=$H44,AI$16&gt;=$G44),_xlfn.IFNA(VLOOKUP(AI$16,'E-Commerce Loan'!$D$16:$H$52,4,0),0),0)</f>
        <v>6320.9549941359837</v>
      </c>
      <c r="AJ44" s="218">
        <f>+IF(AND(AJ$16&lt;=$H44,AJ$16&gt;=$G44),_xlfn.IFNA(VLOOKUP(AJ$16,'E-Commerce Loan'!$D$16:$H$52,4,0),0),0)</f>
        <v>5945.2764879444794</v>
      </c>
      <c r="AK44" s="218">
        <f>+IF(AND(AK$16&lt;=$H44,AK$16&gt;=$G44),_xlfn.IFNA(VLOOKUP(AK$16,'E-Commerce Loan'!$D$16:$H$52,4,0),0),0)</f>
        <v>5567.0934583783646</v>
      </c>
      <c r="AL44" s="218">
        <f>+IF(AND(AL$16&lt;=$H44,AL$16&gt;=$G44),_xlfn.IFNA(VLOOKUP(AL$16,'E-Commerce Loan'!$D$16:$H$52,4,0),0),0)</f>
        <v>5186.3892086151418</v>
      </c>
      <c r="AM44" s="218">
        <f>+IF(AND(AM$16&lt;=$H44,AM$16&gt;=$G44),_xlfn.IFNA(VLOOKUP(AM$16,'E-Commerce Loan'!$D$16:$H$52,4,0),0),0)</f>
        <v>4803.1469305201654</v>
      </c>
      <c r="AN44" s="218">
        <f>+IF(AND(AN$16&lt;=$H44,AN$16&gt;=$G44),_xlfn.IFNA(VLOOKUP(AN$16,'E-Commerce Loan'!$D$16:$H$52,4,0),0),0)</f>
        <v>4417.3497039045551</v>
      </c>
      <c r="AO44" s="218">
        <f>+IF(AND(AO$16&lt;=$H44,AO$16&gt;=$G44),_xlfn.IFNA(VLOOKUP(AO$16,'E-Commerce Loan'!$D$16:$H$52,4,0),0),0)</f>
        <v>4028.9804957781739</v>
      </c>
      <c r="AP44" s="218">
        <f>+IF(AND(AP$16&lt;=$H44,AP$16&gt;=$G44),_xlfn.IFNA(VLOOKUP(AP$16,'E-Commerce Loan'!$D$16:$H$52,4,0),0),0)</f>
        <v>3638.0221595976168</v>
      </c>
      <c r="AQ44" s="218">
        <f>+IF(AND(AQ$16&lt;=$H44,AQ$16&gt;=$G44),_xlfn.IFNA(VLOOKUP(AQ$16,'E-Commerce Loan'!$D$16:$H$52,4,0),0),0)</f>
        <v>3244.4574345091896</v>
      </c>
      <c r="AR44" s="218">
        <f>+IF(AND(AR$16&lt;=$H44,AR$16&gt;=$G44),_xlfn.IFNA(VLOOKUP(AR$16,'E-Commerce Loan'!$D$16:$H$52,4,0),0),0)</f>
        <v>2848.26894458684</v>
      </c>
      <c r="AS44" s="218">
        <f>+IF(AND(AS$16&lt;=$H44,AS$16&gt;=$G44),_xlfn.IFNA(VLOOKUP(AS$16,'E-Commerce Loan'!$D$16:$H$52,4,0),0),0)</f>
        <v>2449.4391980650075</v>
      </c>
      <c r="AT44" s="218">
        <f>+IF(AND(AT$16&lt;=$H44,AT$16&gt;=$G44),_xlfn.IFNA(VLOOKUP(AT$16,'E-Commerce Loan'!$D$16:$H$52,4,0),0),0)</f>
        <v>2047.950586566363</v>
      </c>
      <c r="AU44" s="218">
        <f>+IF(AND(AU$16&lt;=$H44,AU$16&gt;=$G44),_xlfn.IFNA(VLOOKUP(AU$16,'E-Commerce Loan'!$D$16:$H$52,4,0),0),0)</f>
        <v>1643.7853843243938</v>
      </c>
      <c r="AV44" s="218">
        <f>+IF(AND(AV$16&lt;=$H44,AV$16&gt;=$G44),_xlfn.IFNA(VLOOKUP(AV$16,'E-Commerce Loan'!$D$16:$H$52,4,0),0),0)</f>
        <v>1236.9257474008118</v>
      </c>
      <c r="AW44" s="218">
        <f>+IF(AND(AW$16&lt;=$H44,AW$16&gt;=$G44),_xlfn.IFNA(VLOOKUP(AW$16,'E-Commerce Loan'!$D$16:$H$52,4,0),0),0)</f>
        <v>827.35371289773911</v>
      </c>
      <c r="AX44" s="218">
        <f>+IF(AND(AX$16&lt;=$H44,AX$16&gt;=$G44),_xlfn.IFNA(VLOOKUP(AX$16,'E-Commerce Loan'!$D$16:$H$52,4,0),0),0)</f>
        <v>415.05119816464611</v>
      </c>
      <c r="AY44" s="218">
        <f>+IF(AND(AY$16&lt;=$H44,AY$16&gt;=$G44),_xlfn.IFNA(VLOOKUP(AY$16,'E-Commerce Loan'!$D$16:$H$52,4,0),0),0)</f>
        <v>0</v>
      </c>
      <c r="AZ44" s="218">
        <f>+IF(AND(AZ$16&lt;=$H44,AZ$16&gt;=$G44),_xlfn.IFNA(VLOOKUP(AZ$16,'E-Commerce Loan'!$D$16:$H$52,4,0),0),0)</f>
        <v>0</v>
      </c>
      <c r="BA44" s="218">
        <f>+IF(AND(BA$16&lt;=$H44,BA$16&gt;=$G44),_xlfn.IFNA(VLOOKUP(BA$16,'E-Commerce Loan'!$D$16:$H$52,4,0),0),0)</f>
        <v>0</v>
      </c>
      <c r="BB44" s="218">
        <f>+IF(AND(BB$16&lt;=$H44,BB$16&gt;=$G44),_xlfn.IFNA(VLOOKUP(BB$16,'E-Commerce Loan'!$D$16:$H$52,4,0),0),0)</f>
        <v>0</v>
      </c>
      <c r="BC44" s="218">
        <f>+IF(AND(BC$16&lt;=$H44,BC$16&gt;=$G44),_xlfn.IFNA(VLOOKUP(BC$16,'E-Commerce Loan'!$D$16:$H$52,4,0),0),0)</f>
        <v>0</v>
      </c>
      <c r="BD44" s="218">
        <f>+IF(AND(BD$16&lt;=$H44,BD$16&gt;=$G44),_xlfn.IFNA(VLOOKUP(BD$16,'E-Commerce Loan'!$D$16:$H$52,4,0),0),0)</f>
        <v>0</v>
      </c>
      <c r="BE44" s="218">
        <f>+IF(AND(BE$16&lt;=$H44,BE$16&gt;=$G44),_xlfn.IFNA(VLOOKUP(BE$16,'E-Commerce Loan'!$D$16:$H$52,4,0),0),0)</f>
        <v>0</v>
      </c>
      <c r="BF44" s="218">
        <f>+IF(AND(BF$16&lt;=$H44,BF$16&gt;=$G44),_xlfn.IFNA(VLOOKUP(BF$16,'E-Commerce Loan'!$D$16:$H$52,4,0),0),0)</f>
        <v>0</v>
      </c>
      <c r="BG44" s="218">
        <f>+IF(AND(BG$16&lt;=$H44,BG$16&gt;=$G44),_xlfn.IFNA(VLOOKUP(BG$16,'E-Commerce Loan'!$D$16:$H$52,4,0),0),0)</f>
        <v>0</v>
      </c>
      <c r="BH44" s="218">
        <f>+IF(AND(BH$16&lt;=$H44,BH$16&gt;=$G44),_xlfn.IFNA(VLOOKUP(BH$16,'E-Commerce Loan'!$D$16:$H$52,4,0),0),0)</f>
        <v>0</v>
      </c>
      <c r="BI44" s="218">
        <f>+IF(AND(BI$16&lt;=$H44,BI$16&gt;=$G44),_xlfn.IFNA(VLOOKUP(BI$16,'E-Commerce Loan'!$D$16:$H$52,4,0),0),0)</f>
        <v>0</v>
      </c>
      <c r="BJ44" s="218">
        <f>+IF(AND(BJ$16&lt;=$H44,BJ$16&gt;=$G44),_xlfn.IFNA(VLOOKUP(BJ$16,'E-Commerce Loan'!$D$16:$H$52,4,0),0),0)</f>
        <v>0</v>
      </c>
      <c r="BK44" s="218">
        <f>+IF(AND(BK$16&lt;=$H44,BK$16&gt;=$G44),_xlfn.IFNA(VLOOKUP(BK$16,'E-Commerce Loan'!$D$16:$H$52,4,0),0),0)</f>
        <v>0</v>
      </c>
      <c r="BL44" s="218">
        <f>+IF(AND(BL$16&lt;=$H44,BL$16&gt;=$G44),_xlfn.IFNA(VLOOKUP(BL$16,'E-Commerce Loan'!$D$16:$H$52,4,0),0),0)</f>
        <v>0</v>
      </c>
      <c r="BM44" s="218">
        <f>+IF(AND(BM$16&lt;=$H44,BM$16&gt;=$G44),_xlfn.IFNA(VLOOKUP(BM$16,'E-Commerce Loan'!$D$16:$H$52,4,0),0),0)</f>
        <v>0</v>
      </c>
      <c r="BN44" s="218">
        <f>+IF(AND(BN$16&lt;=$H44,BN$16&gt;=$G44),_xlfn.IFNA(VLOOKUP(BN$16,'E-Commerce Loan'!$D$16:$H$52,4,0),0),0)</f>
        <v>0</v>
      </c>
      <c r="BO44" s="218">
        <f>+IF(AND(BO$16&lt;=$H44,BO$16&gt;=$G44),_xlfn.IFNA(VLOOKUP(BO$16,'E-Commerce Loan'!$D$16:$H$52,4,0),0),0)</f>
        <v>0</v>
      </c>
      <c r="BP44" s="218">
        <f>+IF(AND(BP$16&lt;=$H44,BP$16&gt;=$G44),_xlfn.IFNA(VLOOKUP(BP$16,'E-Commerce Loan'!$D$16:$H$52,4,0),0),0)</f>
        <v>0</v>
      </c>
      <c r="BQ44" s="270">
        <f>+IF(AND(BQ$16&lt;=$H44,BQ$16&gt;=$G44),_xlfn.IFNA(VLOOKUP(BQ$16,'E-Commerce Loan'!$D$16:$H$52,4,0),0),0)</f>
        <v>0</v>
      </c>
    </row>
    <row r="45" spans="1:69" s="206" customFormat="1" ht="32.25" outlineLevel="1" thickBot="1" x14ac:dyDescent="0.3">
      <c r="B45" s="219" t="str">
        <f>'Business Plan'!C75&amp;" Interest Income"</f>
        <v>Apartment Complex Loan Interest Income</v>
      </c>
      <c r="C45" s="220"/>
      <c r="D45" s="220" t="s">
        <v>252</v>
      </c>
      <c r="E45" s="302" t="s">
        <v>21</v>
      </c>
      <c r="F45" s="302" t="str">
        <f>+F21</f>
        <v>Apartment Complex Loan</v>
      </c>
      <c r="G45" s="224">
        <f>+'Apartment Complex Loan'!D17</f>
        <v>45473</v>
      </c>
      <c r="H45" s="225">
        <f>+'Business Plan'!D83</f>
        <v>45657</v>
      </c>
      <c r="I45" s="246">
        <f t="shared" si="102"/>
        <v>253421.62188645409</v>
      </c>
      <c r="J45" s="271">
        <f>+IF(AND(J$16&lt;=$H45,J$16&gt;=$G45),_xlfn.IFNA(VLOOKUP(J$16,'Apartment Complex Loan'!$D$16:$H$74,4,0),0),0)</f>
        <v>0</v>
      </c>
      <c r="K45" s="221">
        <f>+IF(AND(K$16&lt;=$H45,K$16&gt;=$G45),_xlfn.IFNA(VLOOKUP(K$16,'Apartment Complex Loan'!$D$16:$H$74,4,0),0),0)</f>
        <v>0</v>
      </c>
      <c r="L45" s="221">
        <f>+IF(AND(L$16&lt;=$H45,L$16&gt;=$G45),_xlfn.IFNA(VLOOKUP(L$16,'Apartment Complex Loan'!$D$16:$H$74,4,0),0),0)</f>
        <v>0</v>
      </c>
      <c r="M45" s="221">
        <f>+IF(AND(M$16&lt;=$H45,M$16&gt;=$G45),_xlfn.IFNA(VLOOKUP(M$16,'Apartment Complex Loan'!$D$16:$H$74,4,0),0),0)</f>
        <v>0</v>
      </c>
      <c r="N45" s="221">
        <f>+IF(AND(N$16&lt;=$H45,N$16&gt;=$G45),_xlfn.IFNA(VLOOKUP(N$16,'Apartment Complex Loan'!$D$16:$H$74,4,0),0),0)</f>
        <v>0</v>
      </c>
      <c r="O45" s="221">
        <f>+IF(AND(O$16&lt;=$H45,O$16&gt;=$G45),_xlfn.IFNA(VLOOKUP(O$16,'Apartment Complex Loan'!$D$16:$H$74,4,0),0),0)</f>
        <v>37500</v>
      </c>
      <c r="P45" s="221">
        <f>+IF(AND(P$16&lt;=$H45,P$16&gt;=$G45),_xlfn.IFNA(VLOOKUP(P$16,'Apartment Complex Loan'!$D$16:$H$74,4,0),0),0)</f>
        <v>37076.627621761545</v>
      </c>
      <c r="Q45" s="221">
        <f>+IF(AND(Q$16&lt;=$H45,Q$16&gt;=$G45),_xlfn.IFNA(VLOOKUP(Q$16,'Apartment Complex Loan'!$D$16:$H$74,4,0),0),0)</f>
        <v>36647.963088795113</v>
      </c>
      <c r="R45" s="221">
        <f>+IF(AND(R$16&lt;=$H45,R$16&gt;=$G45),_xlfn.IFNA(VLOOKUP(R$16,'Apartment Complex Loan'!$D$16:$H$74,4,0),0),0)</f>
        <v>36213.940249166597</v>
      </c>
      <c r="S45" s="221">
        <f>+IF(AND(S$16&lt;=$H45,S$16&gt;=$G45),_xlfn.IFNA(VLOOKUP(S$16,'Apartment Complex Loan'!$D$16:$H$74,4,0),0),0)</f>
        <v>35774.492124042728</v>
      </c>
      <c r="T45" s="221">
        <f>+IF(AND(T$16&lt;=$H45,T$16&gt;=$G45),_xlfn.IFNA(VLOOKUP(T$16,'Apartment Complex Loan'!$D$16:$H$74,4,0),0),0)</f>
        <v>35329.550897354813</v>
      </c>
      <c r="U45" s="221">
        <f>+IF(AND(U$16&lt;=$H45,U$16&gt;=$G45),_xlfn.IFNA(VLOOKUP(U$16,'Apartment Complex Loan'!$D$16:$H$74,4,0),0),0)</f>
        <v>34879.047905333289</v>
      </c>
      <c r="V45" s="221">
        <f>+IF(AND(V$16&lt;=$H45,V$16&gt;=$G45),_xlfn.IFNA(VLOOKUP(V$16,'Apartment Complex Loan'!$D$16:$H$74,4,0),0),0)</f>
        <v>0</v>
      </c>
      <c r="W45" s="221">
        <f>+IF(AND(W$16&lt;=$H45,W$16&gt;=$G45),_xlfn.IFNA(VLOOKUP(W$16,'Apartment Complex Loan'!$D$16:$H$74,4,0),0),0)</f>
        <v>0</v>
      </c>
      <c r="X45" s="221">
        <f>+IF(AND(X$16&lt;=$H45,X$16&gt;=$G45),_xlfn.IFNA(VLOOKUP(X$16,'Apartment Complex Loan'!$D$16:$H$74,4,0),0),0)</f>
        <v>0</v>
      </c>
      <c r="Y45" s="221">
        <f>+IF(AND(Y$16&lt;=$H45,Y$16&gt;=$G45),_xlfn.IFNA(VLOOKUP(Y$16,'Apartment Complex Loan'!$D$16:$H$74,4,0),0),0)</f>
        <v>0</v>
      </c>
      <c r="Z45" s="221">
        <f>+IF(AND(Z$16&lt;=$H45,Z$16&gt;=$G45),_xlfn.IFNA(VLOOKUP(Z$16,'Apartment Complex Loan'!$D$16:$H$74,4,0),0),0)</f>
        <v>0</v>
      </c>
      <c r="AA45" s="221">
        <f>+IF(AND(AA$16&lt;=$H45,AA$16&gt;=$G45),_xlfn.IFNA(VLOOKUP(AA$16,'Apartment Complex Loan'!$D$16:$H$74,4,0),0),0)</f>
        <v>0</v>
      </c>
      <c r="AB45" s="221">
        <f>+IF(AND(AB$16&lt;=$H45,AB$16&gt;=$G45),_xlfn.IFNA(VLOOKUP(AB$16,'Apartment Complex Loan'!$D$16:$H$74,4,0),0),0)</f>
        <v>0</v>
      </c>
      <c r="AC45" s="221">
        <f>+IF(AND(AC$16&lt;=$H45,AC$16&gt;=$G45),_xlfn.IFNA(VLOOKUP(AC$16,'Apartment Complex Loan'!$D$16:$H$74,4,0),0),0)</f>
        <v>0</v>
      </c>
      <c r="AD45" s="221">
        <f>+IF(AND(AD$16&lt;=$H45,AD$16&gt;=$G45),_xlfn.IFNA(VLOOKUP(AD$16,'Apartment Complex Loan'!$D$16:$H$74,4,0),0),0)</f>
        <v>0</v>
      </c>
      <c r="AE45" s="221">
        <f>+IF(AND(AE$16&lt;=$H45,AE$16&gt;=$G45),_xlfn.IFNA(VLOOKUP(AE$16,'Apartment Complex Loan'!$D$16:$H$74,4,0),0),0)</f>
        <v>0</v>
      </c>
      <c r="AF45" s="221">
        <f>+IF(AND(AF$16&lt;=$H45,AF$16&gt;=$G45),_xlfn.IFNA(VLOOKUP(AF$16,'Apartment Complex Loan'!$D$16:$H$74,4,0),0),0)</f>
        <v>0</v>
      </c>
      <c r="AG45" s="221">
        <f>+IF(AND(AG$16&lt;=$H45,AG$16&gt;=$G45),_xlfn.IFNA(VLOOKUP(AG$16,'Apartment Complex Loan'!$D$16:$H$74,4,0),0),0)</f>
        <v>0</v>
      </c>
      <c r="AH45" s="221">
        <f>+IF(AND(AH$16&lt;=$H45,AH$16&gt;=$G45),_xlfn.IFNA(VLOOKUP(AH$16,'Apartment Complex Loan'!$D$16:$H$74,4,0),0),0)</f>
        <v>0</v>
      </c>
      <c r="AI45" s="221">
        <f>+IF(AND(AI$16&lt;=$H45,AI$16&gt;=$G45),_xlfn.IFNA(VLOOKUP(AI$16,'Apartment Complex Loan'!$D$16:$H$74,4,0),0),0)</f>
        <v>0</v>
      </c>
      <c r="AJ45" s="221">
        <f>+IF(AND(AJ$16&lt;=$H45,AJ$16&gt;=$G45),_xlfn.IFNA(VLOOKUP(AJ$16,'Apartment Complex Loan'!$D$16:$H$74,4,0),0),0)</f>
        <v>0</v>
      </c>
      <c r="AK45" s="221">
        <f>+IF(AND(AK$16&lt;=$H45,AK$16&gt;=$G45),_xlfn.IFNA(VLOOKUP(AK$16,'Apartment Complex Loan'!$D$16:$H$74,4,0),0),0)</f>
        <v>0</v>
      </c>
      <c r="AL45" s="221">
        <f>+IF(AND(AL$16&lt;=$H45,AL$16&gt;=$G45),_xlfn.IFNA(VLOOKUP(AL$16,'Apartment Complex Loan'!$D$16:$H$74,4,0),0),0)</f>
        <v>0</v>
      </c>
      <c r="AM45" s="221">
        <f>+IF(AND(AM$16&lt;=$H45,AM$16&gt;=$G45),_xlfn.IFNA(VLOOKUP(AM$16,'Apartment Complex Loan'!$D$16:$H$74,4,0),0),0)</f>
        <v>0</v>
      </c>
      <c r="AN45" s="221">
        <f>+IF(AND(AN$16&lt;=$H45,AN$16&gt;=$G45),_xlfn.IFNA(VLOOKUP(AN$16,'Apartment Complex Loan'!$D$16:$H$74,4,0),0),0)</f>
        <v>0</v>
      </c>
      <c r="AO45" s="221">
        <f>+IF(AND(AO$16&lt;=$H45,AO$16&gt;=$G45),_xlfn.IFNA(VLOOKUP(AO$16,'Apartment Complex Loan'!$D$16:$H$74,4,0),0),0)</f>
        <v>0</v>
      </c>
      <c r="AP45" s="221">
        <f>+IF(AND(AP$16&lt;=$H45,AP$16&gt;=$G45),_xlfn.IFNA(VLOOKUP(AP$16,'Apartment Complex Loan'!$D$16:$H$74,4,0),0),0)</f>
        <v>0</v>
      </c>
      <c r="AQ45" s="221">
        <f>+IF(AND(AQ$16&lt;=$H45,AQ$16&gt;=$G45),_xlfn.IFNA(VLOOKUP(AQ$16,'Apartment Complex Loan'!$D$16:$H$74,4,0),0),0)</f>
        <v>0</v>
      </c>
      <c r="AR45" s="221">
        <f>+IF(AND(AR$16&lt;=$H45,AR$16&gt;=$G45),_xlfn.IFNA(VLOOKUP(AR$16,'Apartment Complex Loan'!$D$16:$H$74,4,0),0),0)</f>
        <v>0</v>
      </c>
      <c r="AS45" s="221">
        <f>+IF(AND(AS$16&lt;=$H45,AS$16&gt;=$G45),_xlfn.IFNA(VLOOKUP(AS$16,'Apartment Complex Loan'!$D$16:$H$74,4,0),0),0)</f>
        <v>0</v>
      </c>
      <c r="AT45" s="221">
        <f>+IF(AND(AT$16&lt;=$H45,AT$16&gt;=$G45),_xlfn.IFNA(VLOOKUP(AT$16,'Apartment Complex Loan'!$D$16:$H$74,4,0),0),0)</f>
        <v>0</v>
      </c>
      <c r="AU45" s="221">
        <f>+IF(AND(AU$16&lt;=$H45,AU$16&gt;=$G45),_xlfn.IFNA(VLOOKUP(AU$16,'Apartment Complex Loan'!$D$16:$H$74,4,0),0),0)</f>
        <v>0</v>
      </c>
      <c r="AV45" s="221">
        <f>+IF(AND(AV$16&lt;=$H45,AV$16&gt;=$G45),_xlfn.IFNA(VLOOKUP(AV$16,'Apartment Complex Loan'!$D$16:$H$74,4,0),0),0)</f>
        <v>0</v>
      </c>
      <c r="AW45" s="221">
        <f>+IF(AND(AW$16&lt;=$H45,AW$16&gt;=$G45),_xlfn.IFNA(VLOOKUP(AW$16,'Apartment Complex Loan'!$D$16:$H$74,4,0),0),0)</f>
        <v>0</v>
      </c>
      <c r="AX45" s="221">
        <f>+IF(AND(AX$16&lt;=$H45,AX$16&gt;=$G45),_xlfn.IFNA(VLOOKUP(AX$16,'Apartment Complex Loan'!$D$16:$H$74,4,0),0),0)</f>
        <v>0</v>
      </c>
      <c r="AY45" s="221">
        <f>+IF(AND(AY$16&lt;=$H45,AY$16&gt;=$G45),_xlfn.IFNA(VLOOKUP(AY$16,'Apartment Complex Loan'!$D$16:$H$74,4,0),0),0)</f>
        <v>0</v>
      </c>
      <c r="AZ45" s="221">
        <f>+IF(AND(AZ$16&lt;=$H45,AZ$16&gt;=$G45),_xlfn.IFNA(VLOOKUP(AZ$16,'Apartment Complex Loan'!$D$16:$H$74,4,0),0),0)</f>
        <v>0</v>
      </c>
      <c r="BA45" s="221">
        <f>+IF(AND(BA$16&lt;=$H45,BA$16&gt;=$G45),_xlfn.IFNA(VLOOKUP(BA$16,'Apartment Complex Loan'!$D$16:$H$74,4,0),0),0)</f>
        <v>0</v>
      </c>
      <c r="BB45" s="221">
        <f>+IF(AND(BB$16&lt;=$H45,BB$16&gt;=$G45),_xlfn.IFNA(VLOOKUP(BB$16,'Apartment Complex Loan'!$D$16:$H$74,4,0),0),0)</f>
        <v>0</v>
      </c>
      <c r="BC45" s="221">
        <f>+IF(AND(BC$16&lt;=$H45,BC$16&gt;=$G45),_xlfn.IFNA(VLOOKUP(BC$16,'Apartment Complex Loan'!$D$16:$H$74,4,0),0),0)</f>
        <v>0</v>
      </c>
      <c r="BD45" s="221">
        <f>+IF(AND(BD$16&lt;=$H45,BD$16&gt;=$G45),_xlfn.IFNA(VLOOKUP(BD$16,'Apartment Complex Loan'!$D$16:$H$74,4,0),0),0)</f>
        <v>0</v>
      </c>
      <c r="BE45" s="221">
        <f>+IF(AND(BE$16&lt;=$H45,BE$16&gt;=$G45),_xlfn.IFNA(VLOOKUP(BE$16,'Apartment Complex Loan'!$D$16:$H$74,4,0),0),0)</f>
        <v>0</v>
      </c>
      <c r="BF45" s="221">
        <f>+IF(AND(BF$16&lt;=$H45,BF$16&gt;=$G45),_xlfn.IFNA(VLOOKUP(BF$16,'Apartment Complex Loan'!$D$16:$H$74,4,0),0),0)</f>
        <v>0</v>
      </c>
      <c r="BG45" s="221">
        <f>+IF(AND(BG$16&lt;=$H45,BG$16&gt;=$G45),_xlfn.IFNA(VLOOKUP(BG$16,'Apartment Complex Loan'!$D$16:$H$74,4,0),0),0)</f>
        <v>0</v>
      </c>
      <c r="BH45" s="221">
        <f>+IF(AND(BH$16&lt;=$H45,BH$16&gt;=$G45),_xlfn.IFNA(VLOOKUP(BH$16,'Apartment Complex Loan'!$D$16:$H$74,4,0),0),0)</f>
        <v>0</v>
      </c>
      <c r="BI45" s="221">
        <f>+IF(AND(BI$16&lt;=$H45,BI$16&gt;=$G45),_xlfn.IFNA(VLOOKUP(BI$16,'Apartment Complex Loan'!$D$16:$H$74,4,0),0),0)</f>
        <v>0</v>
      </c>
      <c r="BJ45" s="221">
        <f>+IF(AND(BJ$16&lt;=$H45,BJ$16&gt;=$G45),_xlfn.IFNA(VLOOKUP(BJ$16,'Apartment Complex Loan'!$D$16:$H$74,4,0),0),0)</f>
        <v>0</v>
      </c>
      <c r="BK45" s="221">
        <f>+IF(AND(BK$16&lt;=$H45,BK$16&gt;=$G45),_xlfn.IFNA(VLOOKUP(BK$16,'Apartment Complex Loan'!$D$16:$H$74,4,0),0),0)</f>
        <v>0</v>
      </c>
      <c r="BL45" s="221">
        <f>+IF(AND(BL$16&lt;=$H45,BL$16&gt;=$G45),_xlfn.IFNA(VLOOKUP(BL$16,'Apartment Complex Loan'!$D$16:$H$74,4,0),0),0)</f>
        <v>0</v>
      </c>
      <c r="BM45" s="221">
        <f>+IF(AND(BM$16&lt;=$H45,BM$16&gt;=$G45),_xlfn.IFNA(VLOOKUP(BM$16,'Apartment Complex Loan'!$D$16:$H$74,4,0),0),0)</f>
        <v>0</v>
      </c>
      <c r="BN45" s="221">
        <f>+IF(AND(BN$16&lt;=$H45,BN$16&gt;=$G45),_xlfn.IFNA(VLOOKUP(BN$16,'Apartment Complex Loan'!$D$16:$H$74,4,0),0),0)</f>
        <v>0</v>
      </c>
      <c r="BO45" s="221">
        <f>+IF(AND(BO$16&lt;=$H45,BO$16&gt;=$G45),_xlfn.IFNA(VLOOKUP(BO$16,'Apartment Complex Loan'!$D$16:$H$74,4,0),0),0)</f>
        <v>0</v>
      </c>
      <c r="BP45" s="221">
        <f>+IF(AND(BP$16&lt;=$H45,BP$16&gt;=$G45),_xlfn.IFNA(VLOOKUP(BP$16,'Apartment Complex Loan'!$D$16:$H$74,4,0),0),0)</f>
        <v>0</v>
      </c>
      <c r="BQ45" s="272">
        <f>+IF(AND(BQ$16&lt;=$H45,BQ$16&gt;=$G45),_xlfn.IFNA(VLOOKUP(BQ$16,'Apartment Complex Loan'!$D$16:$H$74,4,0),0),0)</f>
        <v>0</v>
      </c>
    </row>
    <row r="46" spans="1:69" outlineLevel="1" x14ac:dyDescent="0.25">
      <c r="J46" s="309"/>
      <c r="K46" s="309"/>
      <c r="L46" s="309"/>
      <c r="M46" s="309"/>
      <c r="N46" s="309"/>
      <c r="O46" s="309"/>
      <c r="P46" s="309"/>
      <c r="Q46" s="309"/>
      <c r="R46" s="105"/>
      <c r="S46" s="105"/>
      <c r="T46" s="105"/>
      <c r="U46" s="105"/>
      <c r="V46" s="105"/>
      <c r="W46" s="105"/>
    </row>
    <row r="47" spans="1:69" ht="16.5" thickBot="1" x14ac:dyDescent="0.3">
      <c r="E47" s="126"/>
      <c r="F47" s="126"/>
      <c r="G47" s="126"/>
      <c r="H47" s="341" t="str">
        <f>"Total"&amp;RIGHT(B39,LEN(B39)-2)</f>
        <v>Total Income</v>
      </c>
      <c r="I47" s="246"/>
      <c r="J47" s="207">
        <f t="shared" ref="J47:AO47" si="104">SUM(J41:J46)</f>
        <v>0</v>
      </c>
      <c r="K47" s="207">
        <f t="shared" si="104"/>
        <v>18333.333333333332</v>
      </c>
      <c r="L47" s="207">
        <f t="shared" si="104"/>
        <v>18333.333333333332</v>
      </c>
      <c r="M47" s="207">
        <f t="shared" si="104"/>
        <v>18333.333333333332</v>
      </c>
      <c r="N47" s="207">
        <f t="shared" si="104"/>
        <v>18333.333333333332</v>
      </c>
      <c r="O47" s="207">
        <f t="shared" si="104"/>
        <v>77500</v>
      </c>
      <c r="P47" s="207">
        <f t="shared" si="104"/>
        <v>68414.364971164687</v>
      </c>
      <c r="Q47" s="207">
        <f t="shared" si="104"/>
        <v>67654.578258819645</v>
      </c>
      <c r="R47" s="207">
        <f t="shared" si="104"/>
        <v>91887.225758616652</v>
      </c>
      <c r="S47" s="207">
        <f t="shared" si="104"/>
        <v>66112.225775181156</v>
      </c>
      <c r="T47" s="207">
        <f t="shared" si="104"/>
        <v>65329.49567779286</v>
      </c>
      <c r="U47" s="207">
        <f t="shared" si="104"/>
        <v>89538.951889266289</v>
      </c>
      <c r="V47" s="207">
        <f t="shared" si="104"/>
        <v>29317.59624878459</v>
      </c>
      <c r="W47" s="207">
        <f t="shared" si="104"/>
        <v>28973.006462068523</v>
      </c>
      <c r="X47" s="207">
        <f t="shared" si="104"/>
        <v>53626.119410107669</v>
      </c>
      <c r="Y47" s="207">
        <f t="shared" si="104"/>
        <v>28276.919777800427</v>
      </c>
      <c r="Z47" s="207">
        <f t="shared" si="104"/>
        <v>27925.392147944462</v>
      </c>
      <c r="AA47" s="207">
        <f t="shared" si="104"/>
        <v>52571.521000556124</v>
      </c>
      <c r="AB47" s="207">
        <f t="shared" si="104"/>
        <v>27215.2907121852</v>
      </c>
      <c r="AC47" s="207">
        <f t="shared" si="104"/>
        <v>26856.685555225136</v>
      </c>
      <c r="AD47" s="207">
        <f t="shared" si="104"/>
        <v>51495.689697218666</v>
      </c>
      <c r="AE47" s="207">
        <f t="shared" si="104"/>
        <v>26132.287200158826</v>
      </c>
      <c r="AF47" s="207">
        <f t="shared" si="104"/>
        <v>25766.462019785249</v>
      </c>
      <c r="AG47" s="207">
        <f t="shared" si="104"/>
        <v>50398.198004875849</v>
      </c>
      <c r="AH47" s="207">
        <f t="shared" si="104"/>
        <v>25027.478896533725</v>
      </c>
      <c r="AI47" s="207">
        <f t="shared" si="104"/>
        <v>24654.288327469316</v>
      </c>
      <c r="AJ47" s="207">
        <f t="shared" si="104"/>
        <v>49278.609821277809</v>
      </c>
      <c r="AK47" s="207">
        <f t="shared" si="104"/>
        <v>23900.426791711696</v>
      </c>
      <c r="AL47" s="207">
        <f t="shared" si="104"/>
        <v>23519.722541948475</v>
      </c>
      <c r="AM47" s="207">
        <f t="shared" si="104"/>
        <v>48136.480263853497</v>
      </c>
      <c r="AN47" s="207">
        <f t="shared" si="104"/>
        <v>22750.683037237886</v>
      </c>
      <c r="AO47" s="207">
        <f t="shared" si="104"/>
        <v>22362.313829111506</v>
      </c>
      <c r="AP47" s="207">
        <f t="shared" ref="AP47:BQ47" si="105">SUM(AP41:AP46)</f>
        <v>46971.355492930947</v>
      </c>
      <c r="AQ47" s="207">
        <f t="shared" si="105"/>
        <v>21577.790767842522</v>
      </c>
      <c r="AR47" s="207">
        <f t="shared" si="105"/>
        <v>21181.602277920174</v>
      </c>
      <c r="AS47" s="207">
        <f t="shared" si="105"/>
        <v>45782.772531398339</v>
      </c>
      <c r="AT47" s="207">
        <f t="shared" si="105"/>
        <v>20381.283919899695</v>
      </c>
      <c r="AU47" s="207">
        <f t="shared" si="105"/>
        <v>19977.118717657726</v>
      </c>
      <c r="AV47" s="207">
        <f t="shared" si="105"/>
        <v>44570.25908073414</v>
      </c>
      <c r="AW47" s="207">
        <f t="shared" si="105"/>
        <v>19160.687046231073</v>
      </c>
      <c r="AX47" s="207">
        <f t="shared" si="105"/>
        <v>18748.384531497977</v>
      </c>
      <c r="AY47" s="207">
        <f t="shared" si="105"/>
        <v>43333.333333333328</v>
      </c>
      <c r="AZ47" s="207">
        <f t="shared" si="105"/>
        <v>18333.333333333332</v>
      </c>
      <c r="BA47" s="207">
        <f t="shared" si="105"/>
        <v>18333.333333333332</v>
      </c>
      <c r="BB47" s="207">
        <f t="shared" si="105"/>
        <v>43333.333333333328</v>
      </c>
      <c r="BC47" s="207">
        <f t="shared" si="105"/>
        <v>18333.333333333332</v>
      </c>
      <c r="BD47" s="207">
        <f t="shared" si="105"/>
        <v>18333.333333333332</v>
      </c>
      <c r="BE47" s="207">
        <f t="shared" si="105"/>
        <v>43333.333333333328</v>
      </c>
      <c r="BF47" s="207">
        <f t="shared" si="105"/>
        <v>18333.333333333332</v>
      </c>
      <c r="BG47" s="207">
        <f t="shared" si="105"/>
        <v>18333.333333333332</v>
      </c>
      <c r="BH47" s="207">
        <f t="shared" si="105"/>
        <v>43333.333333333328</v>
      </c>
      <c r="BI47" s="207">
        <f t="shared" si="105"/>
        <v>18333.333333333332</v>
      </c>
      <c r="BJ47" s="207">
        <f t="shared" si="105"/>
        <v>18333.333333333332</v>
      </c>
      <c r="BK47" s="207">
        <f t="shared" si="105"/>
        <v>43333.333333333328</v>
      </c>
      <c r="BL47" s="207">
        <f t="shared" si="105"/>
        <v>18333.333333333332</v>
      </c>
      <c r="BM47" s="207">
        <f t="shared" si="105"/>
        <v>18333.333333333332</v>
      </c>
      <c r="BN47" s="207">
        <f t="shared" si="105"/>
        <v>43333.333333333328</v>
      </c>
      <c r="BO47" s="207">
        <f t="shared" si="105"/>
        <v>18333.333333333332</v>
      </c>
      <c r="BP47" s="207">
        <f t="shared" si="105"/>
        <v>18333.333333333332</v>
      </c>
      <c r="BQ47" s="207">
        <f t="shared" si="105"/>
        <v>43333.333333333328</v>
      </c>
    </row>
    <row r="48" spans="1:69" outlineLevel="1" x14ac:dyDescent="0.25">
      <c r="B48" s="208"/>
      <c r="C48" s="209"/>
      <c r="E48" s="209"/>
      <c r="F48" s="209"/>
      <c r="G48" s="210"/>
      <c r="H48" s="342" t="str">
        <f>"ITD "&amp;H47</f>
        <v>ITD Total Income</v>
      </c>
      <c r="J48" s="211">
        <f>+J47</f>
        <v>0</v>
      </c>
      <c r="K48" s="211">
        <f t="shared" ref="K48:AP48" si="106">+K47+J48</f>
        <v>18333.333333333332</v>
      </c>
      <c r="L48" s="211">
        <f t="shared" si="106"/>
        <v>36666.666666666664</v>
      </c>
      <c r="M48" s="211">
        <f t="shared" si="106"/>
        <v>55000</v>
      </c>
      <c r="N48" s="211">
        <f t="shared" si="106"/>
        <v>73333.333333333328</v>
      </c>
      <c r="O48" s="211">
        <f t="shared" si="106"/>
        <v>150833.33333333331</v>
      </c>
      <c r="P48" s="211">
        <f t="shared" si="106"/>
        <v>219247.69830449799</v>
      </c>
      <c r="Q48" s="211">
        <f t="shared" si="106"/>
        <v>286902.27656331763</v>
      </c>
      <c r="R48" s="211">
        <f t="shared" si="106"/>
        <v>378789.50232193427</v>
      </c>
      <c r="S48" s="211">
        <f t="shared" si="106"/>
        <v>444901.72809711541</v>
      </c>
      <c r="T48" s="211">
        <f t="shared" si="106"/>
        <v>510231.22377490829</v>
      </c>
      <c r="U48" s="211">
        <f t="shared" si="106"/>
        <v>599770.1756641746</v>
      </c>
      <c r="V48" s="211">
        <f t="shared" si="106"/>
        <v>629087.77191295917</v>
      </c>
      <c r="W48" s="211">
        <f t="shared" si="106"/>
        <v>658060.7783750277</v>
      </c>
      <c r="X48" s="211">
        <f t="shared" si="106"/>
        <v>711686.89778513531</v>
      </c>
      <c r="Y48" s="211">
        <f t="shared" si="106"/>
        <v>739963.81756293576</v>
      </c>
      <c r="Z48" s="211">
        <f t="shared" si="106"/>
        <v>767889.20971088018</v>
      </c>
      <c r="AA48" s="211">
        <f t="shared" si="106"/>
        <v>820460.73071143636</v>
      </c>
      <c r="AB48" s="211">
        <f t="shared" si="106"/>
        <v>847676.02142362157</v>
      </c>
      <c r="AC48" s="211">
        <f t="shared" si="106"/>
        <v>874532.70697884669</v>
      </c>
      <c r="AD48" s="211">
        <f t="shared" si="106"/>
        <v>926028.3966760654</v>
      </c>
      <c r="AE48" s="211">
        <f t="shared" si="106"/>
        <v>952160.68387622421</v>
      </c>
      <c r="AF48" s="211">
        <f t="shared" si="106"/>
        <v>977927.1458960094</v>
      </c>
      <c r="AG48" s="211">
        <f t="shared" si="106"/>
        <v>1028325.3439008852</v>
      </c>
      <c r="AH48" s="211">
        <f t="shared" si="106"/>
        <v>1053352.822797419</v>
      </c>
      <c r="AI48" s="211">
        <f t="shared" si="106"/>
        <v>1078007.1111248883</v>
      </c>
      <c r="AJ48" s="211">
        <f t="shared" si="106"/>
        <v>1127285.7209461662</v>
      </c>
      <c r="AK48" s="211">
        <f t="shared" si="106"/>
        <v>1151186.1477378779</v>
      </c>
      <c r="AL48" s="211">
        <f t="shared" si="106"/>
        <v>1174705.8702798265</v>
      </c>
      <c r="AM48" s="211">
        <f t="shared" si="106"/>
        <v>1222842.3505436799</v>
      </c>
      <c r="AN48" s="211">
        <f t="shared" si="106"/>
        <v>1245593.0335809179</v>
      </c>
      <c r="AO48" s="211">
        <f t="shared" si="106"/>
        <v>1267955.3474100293</v>
      </c>
      <c r="AP48" s="211">
        <f t="shared" si="106"/>
        <v>1314926.7029029601</v>
      </c>
      <c r="AQ48" s="211">
        <f t="shared" ref="AQ48:BQ48" si="107">+AQ47+AP48</f>
        <v>1336504.4936708026</v>
      </c>
      <c r="AR48" s="211">
        <f t="shared" si="107"/>
        <v>1357686.0959487227</v>
      </c>
      <c r="AS48" s="211">
        <f t="shared" si="107"/>
        <v>1403468.868480121</v>
      </c>
      <c r="AT48" s="211">
        <f t="shared" si="107"/>
        <v>1423850.1524000207</v>
      </c>
      <c r="AU48" s="211">
        <f t="shared" si="107"/>
        <v>1443827.2711176784</v>
      </c>
      <c r="AV48" s="211">
        <f t="shared" si="107"/>
        <v>1488397.5301984125</v>
      </c>
      <c r="AW48" s="211">
        <f t="shared" si="107"/>
        <v>1507558.2172446435</v>
      </c>
      <c r="AX48" s="211">
        <f t="shared" si="107"/>
        <v>1526306.6017761414</v>
      </c>
      <c r="AY48" s="211">
        <f t="shared" si="107"/>
        <v>1569639.9351094747</v>
      </c>
      <c r="AZ48" s="211">
        <f t="shared" si="107"/>
        <v>1587973.268442808</v>
      </c>
      <c r="BA48" s="211">
        <f t="shared" si="107"/>
        <v>1606306.6017761412</v>
      </c>
      <c r="BB48" s="211">
        <f t="shared" si="107"/>
        <v>1649639.9351094745</v>
      </c>
      <c r="BC48" s="211">
        <f t="shared" si="107"/>
        <v>1667973.2684428077</v>
      </c>
      <c r="BD48" s="211">
        <f t="shared" si="107"/>
        <v>1686306.601776141</v>
      </c>
      <c r="BE48" s="211">
        <f t="shared" si="107"/>
        <v>1729639.9351094742</v>
      </c>
      <c r="BF48" s="211">
        <f t="shared" si="107"/>
        <v>1747973.2684428075</v>
      </c>
      <c r="BG48" s="211">
        <f t="shared" si="107"/>
        <v>1766306.6017761407</v>
      </c>
      <c r="BH48" s="211">
        <f t="shared" si="107"/>
        <v>1809639.935109474</v>
      </c>
      <c r="BI48" s="211">
        <f t="shared" si="107"/>
        <v>1827973.2684428073</v>
      </c>
      <c r="BJ48" s="211">
        <f t="shared" si="107"/>
        <v>1846306.6017761405</v>
      </c>
      <c r="BK48" s="211">
        <f t="shared" si="107"/>
        <v>1889639.9351094738</v>
      </c>
      <c r="BL48" s="211">
        <f t="shared" si="107"/>
        <v>1907973.268442807</v>
      </c>
      <c r="BM48" s="211">
        <f t="shared" si="107"/>
        <v>1926306.6017761403</v>
      </c>
      <c r="BN48" s="211">
        <f t="shared" si="107"/>
        <v>1969639.9351094735</v>
      </c>
      <c r="BO48" s="211">
        <f t="shared" si="107"/>
        <v>1987973.2684428068</v>
      </c>
      <c r="BP48" s="211">
        <f t="shared" si="107"/>
        <v>2006306.60177614</v>
      </c>
      <c r="BQ48" s="211">
        <f t="shared" si="107"/>
        <v>2049639.9351094733</v>
      </c>
    </row>
    <row r="49" spans="1:69" outlineLevel="1" x14ac:dyDescent="0.25">
      <c r="B49" s="208"/>
      <c r="C49" s="209"/>
      <c r="E49" s="209"/>
      <c r="F49" s="209"/>
      <c r="G49" s="210"/>
      <c r="H49" s="341"/>
      <c r="J49" s="211"/>
      <c r="K49" s="211"/>
      <c r="L49" s="211"/>
      <c r="M49" s="211"/>
      <c r="N49" s="211"/>
      <c r="O49" s="443">
        <f>+O48-'Income Statement'!F13</f>
        <v>0</v>
      </c>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c r="BI49" s="211"/>
      <c r="BJ49" s="211"/>
      <c r="BK49" s="211"/>
      <c r="BL49" s="211"/>
      <c r="BM49" s="211"/>
      <c r="BN49" s="211"/>
      <c r="BO49" s="211"/>
      <c r="BP49" s="211"/>
      <c r="BQ49" s="211"/>
    </row>
    <row r="50" spans="1:69" s="206" customFormat="1" outlineLevel="1" x14ac:dyDescent="0.25">
      <c r="A50" s="104"/>
      <c r="E50" s="192"/>
      <c r="F50" s="192"/>
      <c r="G50" s="230"/>
      <c r="H50" s="342" t="s">
        <v>21</v>
      </c>
      <c r="I50" s="246">
        <f>SUM(J50:U50)</f>
        <v>339770.17566417466</v>
      </c>
      <c r="J50" s="211">
        <f t="shared" ref="J50:AO50" si="108">+SUMIFS(J$41:J$46,$E$41:$E$46,$H50)</f>
        <v>0</v>
      </c>
      <c r="K50" s="211">
        <f t="shared" si="108"/>
        <v>0</v>
      </c>
      <c r="L50" s="211">
        <f t="shared" si="108"/>
        <v>0</v>
      </c>
      <c r="M50" s="211">
        <f t="shared" si="108"/>
        <v>0</v>
      </c>
      <c r="N50" s="211">
        <f t="shared" si="108"/>
        <v>0</v>
      </c>
      <c r="O50" s="211">
        <f t="shared" si="108"/>
        <v>50833.333333333336</v>
      </c>
      <c r="P50" s="211">
        <f t="shared" si="108"/>
        <v>50081.031637831358</v>
      </c>
      <c r="Q50" s="211">
        <f t="shared" si="108"/>
        <v>49321.24492548631</v>
      </c>
      <c r="R50" s="211">
        <f t="shared" si="108"/>
        <v>48553.892425283324</v>
      </c>
      <c r="S50" s="211">
        <f t="shared" si="108"/>
        <v>47778.89244184782</v>
      </c>
      <c r="T50" s="211">
        <f t="shared" si="108"/>
        <v>46996.162344459532</v>
      </c>
      <c r="U50" s="211">
        <f t="shared" si="108"/>
        <v>46205.618555932961</v>
      </c>
      <c r="V50" s="211">
        <f t="shared" si="108"/>
        <v>10984.262915451256</v>
      </c>
      <c r="W50" s="211">
        <f t="shared" si="108"/>
        <v>10639.673128735189</v>
      </c>
      <c r="X50" s="211">
        <f t="shared" si="108"/>
        <v>10292.786076774344</v>
      </c>
      <c r="Y50" s="211">
        <f t="shared" si="108"/>
        <v>9943.5864444670951</v>
      </c>
      <c r="Z50" s="211">
        <f t="shared" si="108"/>
        <v>9592.0588146111313</v>
      </c>
      <c r="AA50" s="211">
        <f t="shared" si="108"/>
        <v>9238.1876672227936</v>
      </c>
      <c r="AB50" s="211">
        <f t="shared" si="108"/>
        <v>8881.9573788518683</v>
      </c>
      <c r="AC50" s="211">
        <f t="shared" si="108"/>
        <v>8523.3522218918024</v>
      </c>
      <c r="AD50" s="211">
        <f t="shared" si="108"/>
        <v>8162.3563638853366</v>
      </c>
      <c r="AE50" s="211">
        <f t="shared" si="108"/>
        <v>7798.9538668254936</v>
      </c>
      <c r="AF50" s="211">
        <f t="shared" si="108"/>
        <v>7433.1286864519179</v>
      </c>
      <c r="AG50" s="211">
        <f t="shared" si="108"/>
        <v>7064.8646715425202</v>
      </c>
      <c r="AH50" s="211">
        <f t="shared" si="108"/>
        <v>6694.1455632003926</v>
      </c>
      <c r="AI50" s="211">
        <f t="shared" si="108"/>
        <v>6320.9549941359837</v>
      </c>
      <c r="AJ50" s="211">
        <f t="shared" si="108"/>
        <v>5945.2764879444794</v>
      </c>
      <c r="AK50" s="211">
        <f t="shared" si="108"/>
        <v>5567.0934583783646</v>
      </c>
      <c r="AL50" s="211">
        <f t="shared" si="108"/>
        <v>5186.3892086151418</v>
      </c>
      <c r="AM50" s="211">
        <f t="shared" si="108"/>
        <v>4803.1469305201654</v>
      </c>
      <c r="AN50" s="211">
        <f t="shared" si="108"/>
        <v>4417.3497039045551</v>
      </c>
      <c r="AO50" s="211">
        <f t="shared" si="108"/>
        <v>4028.9804957781739</v>
      </c>
      <c r="AP50" s="211">
        <f t="shared" ref="AP50:BQ50" si="109">+SUMIFS(AP$41:AP$46,$E$41:$E$46,$H50)</f>
        <v>3638.0221595976168</v>
      </c>
      <c r="AQ50" s="211">
        <f t="shared" si="109"/>
        <v>3244.4574345091896</v>
      </c>
      <c r="AR50" s="211">
        <f t="shared" si="109"/>
        <v>2848.26894458684</v>
      </c>
      <c r="AS50" s="211">
        <f t="shared" si="109"/>
        <v>2449.4391980650075</v>
      </c>
      <c r="AT50" s="211">
        <f t="shared" si="109"/>
        <v>2047.950586566363</v>
      </c>
      <c r="AU50" s="211">
        <f t="shared" si="109"/>
        <v>1643.7853843243938</v>
      </c>
      <c r="AV50" s="211">
        <f t="shared" si="109"/>
        <v>1236.9257474008118</v>
      </c>
      <c r="AW50" s="211">
        <f t="shared" si="109"/>
        <v>827.35371289773911</v>
      </c>
      <c r="AX50" s="211">
        <f t="shared" si="109"/>
        <v>415.05119816464611</v>
      </c>
      <c r="AY50" s="211">
        <f t="shared" si="109"/>
        <v>0</v>
      </c>
      <c r="AZ50" s="211">
        <f t="shared" si="109"/>
        <v>0</v>
      </c>
      <c r="BA50" s="211">
        <f t="shared" si="109"/>
        <v>0</v>
      </c>
      <c r="BB50" s="211">
        <f t="shared" si="109"/>
        <v>0</v>
      </c>
      <c r="BC50" s="211">
        <f t="shared" si="109"/>
        <v>0</v>
      </c>
      <c r="BD50" s="211">
        <f t="shared" si="109"/>
        <v>0</v>
      </c>
      <c r="BE50" s="211">
        <f t="shared" si="109"/>
        <v>0</v>
      </c>
      <c r="BF50" s="211">
        <f t="shared" si="109"/>
        <v>0</v>
      </c>
      <c r="BG50" s="211">
        <f t="shared" si="109"/>
        <v>0</v>
      </c>
      <c r="BH50" s="211">
        <f t="shared" si="109"/>
        <v>0</v>
      </c>
      <c r="BI50" s="211">
        <f t="shared" si="109"/>
        <v>0</v>
      </c>
      <c r="BJ50" s="211">
        <f t="shared" si="109"/>
        <v>0</v>
      </c>
      <c r="BK50" s="211">
        <f t="shared" si="109"/>
        <v>0</v>
      </c>
      <c r="BL50" s="211">
        <f t="shared" si="109"/>
        <v>0</v>
      </c>
      <c r="BM50" s="211">
        <f t="shared" si="109"/>
        <v>0</v>
      </c>
      <c r="BN50" s="211">
        <f t="shared" si="109"/>
        <v>0</v>
      </c>
      <c r="BO50" s="211">
        <f t="shared" si="109"/>
        <v>0</v>
      </c>
      <c r="BP50" s="211">
        <f t="shared" si="109"/>
        <v>0</v>
      </c>
      <c r="BQ50" s="211">
        <f t="shared" si="109"/>
        <v>0</v>
      </c>
    </row>
    <row r="51" spans="1:69" outlineLevel="1" x14ac:dyDescent="0.25">
      <c r="B51" s="208"/>
      <c r="C51" s="209"/>
      <c r="E51" s="209"/>
      <c r="F51" s="209"/>
      <c r="G51" s="210"/>
      <c r="H51" s="341" t="str">
        <f>"ITD "&amp;H50</f>
        <v>ITD Interest Income</v>
      </c>
      <c r="J51" s="211">
        <f>+J50</f>
        <v>0</v>
      </c>
      <c r="K51" s="211">
        <f t="shared" ref="K51:AP51" si="110">+K50+J51</f>
        <v>0</v>
      </c>
      <c r="L51" s="211">
        <f t="shared" si="110"/>
        <v>0</v>
      </c>
      <c r="M51" s="211">
        <f t="shared" si="110"/>
        <v>0</v>
      </c>
      <c r="N51" s="211">
        <f t="shared" si="110"/>
        <v>0</v>
      </c>
      <c r="O51" s="211">
        <f t="shared" si="110"/>
        <v>50833.333333333336</v>
      </c>
      <c r="P51" s="211">
        <f t="shared" si="110"/>
        <v>100914.3649711647</v>
      </c>
      <c r="Q51" s="211">
        <f t="shared" si="110"/>
        <v>150235.609896651</v>
      </c>
      <c r="R51" s="211">
        <f t="shared" si="110"/>
        <v>198789.50232193433</v>
      </c>
      <c r="S51" s="211">
        <f t="shared" si="110"/>
        <v>246568.39476378215</v>
      </c>
      <c r="T51" s="211">
        <f t="shared" si="110"/>
        <v>293564.55710824172</v>
      </c>
      <c r="U51" s="211">
        <f t="shared" si="110"/>
        <v>339770.17566417466</v>
      </c>
      <c r="V51" s="211">
        <f t="shared" si="110"/>
        <v>350754.43857962592</v>
      </c>
      <c r="W51" s="211">
        <f t="shared" si="110"/>
        <v>361394.11170836113</v>
      </c>
      <c r="X51" s="211">
        <f t="shared" si="110"/>
        <v>371686.89778513549</v>
      </c>
      <c r="Y51" s="211">
        <f t="shared" si="110"/>
        <v>381630.48422960256</v>
      </c>
      <c r="Z51" s="211">
        <f t="shared" si="110"/>
        <v>391222.54304421367</v>
      </c>
      <c r="AA51" s="211">
        <f t="shared" si="110"/>
        <v>400460.73071143648</v>
      </c>
      <c r="AB51" s="211">
        <f t="shared" si="110"/>
        <v>409342.68809028837</v>
      </c>
      <c r="AC51" s="211">
        <f t="shared" si="110"/>
        <v>417866.04031218018</v>
      </c>
      <c r="AD51" s="211">
        <f t="shared" si="110"/>
        <v>426028.39667606552</v>
      </c>
      <c r="AE51" s="211">
        <f t="shared" si="110"/>
        <v>433827.35054289101</v>
      </c>
      <c r="AF51" s="211">
        <f t="shared" si="110"/>
        <v>441260.47922934295</v>
      </c>
      <c r="AG51" s="211">
        <f t="shared" si="110"/>
        <v>448325.34390088549</v>
      </c>
      <c r="AH51" s="211">
        <f t="shared" si="110"/>
        <v>455019.4894640859</v>
      </c>
      <c r="AI51" s="211">
        <f t="shared" si="110"/>
        <v>461340.4444582219</v>
      </c>
      <c r="AJ51" s="211">
        <f t="shared" si="110"/>
        <v>467285.72094616637</v>
      </c>
      <c r="AK51" s="211">
        <f t="shared" si="110"/>
        <v>472852.81440454471</v>
      </c>
      <c r="AL51" s="211">
        <f t="shared" si="110"/>
        <v>478039.20361315983</v>
      </c>
      <c r="AM51" s="211">
        <f t="shared" si="110"/>
        <v>482842.35054368002</v>
      </c>
      <c r="AN51" s="211">
        <f t="shared" si="110"/>
        <v>487259.70024758455</v>
      </c>
      <c r="AO51" s="211">
        <f t="shared" si="110"/>
        <v>491288.6807433627</v>
      </c>
      <c r="AP51" s="211">
        <f t="shared" si="110"/>
        <v>494926.7029029603</v>
      </c>
      <c r="AQ51" s="211">
        <f t="shared" ref="AQ51:BQ51" si="111">+AQ50+AP51</f>
        <v>498171.16033746948</v>
      </c>
      <c r="AR51" s="211">
        <f t="shared" si="111"/>
        <v>501019.42928205634</v>
      </c>
      <c r="AS51" s="211">
        <f t="shared" si="111"/>
        <v>503468.86848012137</v>
      </c>
      <c r="AT51" s="211">
        <f t="shared" si="111"/>
        <v>505516.81906668772</v>
      </c>
      <c r="AU51" s="211">
        <f t="shared" si="111"/>
        <v>507160.6044510121</v>
      </c>
      <c r="AV51" s="211">
        <f t="shared" si="111"/>
        <v>508397.53019841289</v>
      </c>
      <c r="AW51" s="211">
        <f t="shared" si="111"/>
        <v>509224.88391131064</v>
      </c>
      <c r="AX51" s="211">
        <f t="shared" si="111"/>
        <v>509639.93510947528</v>
      </c>
      <c r="AY51" s="211">
        <f t="shared" si="111"/>
        <v>509639.93510947528</v>
      </c>
      <c r="AZ51" s="211">
        <f t="shared" si="111"/>
        <v>509639.93510947528</v>
      </c>
      <c r="BA51" s="211">
        <f t="shared" si="111"/>
        <v>509639.93510947528</v>
      </c>
      <c r="BB51" s="211">
        <f t="shared" si="111"/>
        <v>509639.93510947528</v>
      </c>
      <c r="BC51" s="211">
        <f t="shared" si="111"/>
        <v>509639.93510947528</v>
      </c>
      <c r="BD51" s="211">
        <f t="shared" si="111"/>
        <v>509639.93510947528</v>
      </c>
      <c r="BE51" s="211">
        <f t="shared" si="111"/>
        <v>509639.93510947528</v>
      </c>
      <c r="BF51" s="211">
        <f t="shared" si="111"/>
        <v>509639.93510947528</v>
      </c>
      <c r="BG51" s="211">
        <f t="shared" si="111"/>
        <v>509639.93510947528</v>
      </c>
      <c r="BH51" s="211">
        <f t="shared" si="111"/>
        <v>509639.93510947528</v>
      </c>
      <c r="BI51" s="211">
        <f t="shared" si="111"/>
        <v>509639.93510947528</v>
      </c>
      <c r="BJ51" s="211">
        <f t="shared" si="111"/>
        <v>509639.93510947528</v>
      </c>
      <c r="BK51" s="211">
        <f t="shared" si="111"/>
        <v>509639.93510947528</v>
      </c>
      <c r="BL51" s="211">
        <f t="shared" si="111"/>
        <v>509639.93510947528</v>
      </c>
      <c r="BM51" s="211">
        <f t="shared" si="111"/>
        <v>509639.93510947528</v>
      </c>
      <c r="BN51" s="211">
        <f t="shared" si="111"/>
        <v>509639.93510947528</v>
      </c>
      <c r="BO51" s="211">
        <f t="shared" si="111"/>
        <v>509639.93510947528</v>
      </c>
      <c r="BP51" s="211">
        <f t="shared" si="111"/>
        <v>509639.93510947528</v>
      </c>
      <c r="BQ51" s="211">
        <f t="shared" si="111"/>
        <v>509639.93510947528</v>
      </c>
    </row>
    <row r="52" spans="1:69" s="206" customFormat="1" outlineLevel="1" x14ac:dyDescent="0.25">
      <c r="A52" s="104"/>
      <c r="E52" s="192"/>
      <c r="F52" s="192"/>
      <c r="G52" s="230"/>
      <c r="H52" s="342" t="s">
        <v>113</v>
      </c>
      <c r="I52" s="246">
        <f>SUM(J52:U52)</f>
        <v>260000</v>
      </c>
      <c r="J52" s="211">
        <f t="shared" ref="J52:AO52" si="112">+SUMIFS(J$41:J$46,$E$41:$E$46,$H52)</f>
        <v>0</v>
      </c>
      <c r="K52" s="211">
        <f t="shared" si="112"/>
        <v>18333.333333333332</v>
      </c>
      <c r="L52" s="211">
        <f t="shared" si="112"/>
        <v>18333.333333333332</v>
      </c>
      <c r="M52" s="211">
        <f t="shared" si="112"/>
        <v>18333.333333333332</v>
      </c>
      <c r="N52" s="211">
        <f t="shared" si="112"/>
        <v>18333.333333333332</v>
      </c>
      <c r="O52" s="211">
        <f t="shared" si="112"/>
        <v>26666.666666666664</v>
      </c>
      <c r="P52" s="211">
        <f t="shared" si="112"/>
        <v>18333.333333333332</v>
      </c>
      <c r="Q52" s="211">
        <f t="shared" si="112"/>
        <v>18333.333333333332</v>
      </c>
      <c r="R52" s="211">
        <f t="shared" si="112"/>
        <v>43333.333333333328</v>
      </c>
      <c r="S52" s="211">
        <f t="shared" si="112"/>
        <v>18333.333333333332</v>
      </c>
      <c r="T52" s="211">
        <f t="shared" si="112"/>
        <v>18333.333333333332</v>
      </c>
      <c r="U52" s="211">
        <f t="shared" si="112"/>
        <v>43333.333333333328</v>
      </c>
      <c r="V52" s="211">
        <f t="shared" si="112"/>
        <v>18333.333333333332</v>
      </c>
      <c r="W52" s="211">
        <f t="shared" si="112"/>
        <v>18333.333333333332</v>
      </c>
      <c r="X52" s="211">
        <f t="shared" si="112"/>
        <v>43333.333333333328</v>
      </c>
      <c r="Y52" s="211">
        <f t="shared" si="112"/>
        <v>18333.333333333332</v>
      </c>
      <c r="Z52" s="211">
        <f t="shared" si="112"/>
        <v>18333.333333333332</v>
      </c>
      <c r="AA52" s="211">
        <f t="shared" si="112"/>
        <v>43333.333333333328</v>
      </c>
      <c r="AB52" s="211">
        <f t="shared" si="112"/>
        <v>18333.333333333332</v>
      </c>
      <c r="AC52" s="211">
        <f t="shared" si="112"/>
        <v>18333.333333333332</v>
      </c>
      <c r="AD52" s="211">
        <f t="shared" si="112"/>
        <v>43333.333333333328</v>
      </c>
      <c r="AE52" s="211">
        <f t="shared" si="112"/>
        <v>18333.333333333332</v>
      </c>
      <c r="AF52" s="211">
        <f t="shared" si="112"/>
        <v>18333.333333333332</v>
      </c>
      <c r="AG52" s="211">
        <f t="shared" si="112"/>
        <v>43333.333333333328</v>
      </c>
      <c r="AH52" s="211">
        <f t="shared" si="112"/>
        <v>18333.333333333332</v>
      </c>
      <c r="AI52" s="211">
        <f t="shared" si="112"/>
        <v>18333.333333333332</v>
      </c>
      <c r="AJ52" s="211">
        <f t="shared" si="112"/>
        <v>43333.333333333328</v>
      </c>
      <c r="AK52" s="211">
        <f t="shared" si="112"/>
        <v>18333.333333333332</v>
      </c>
      <c r="AL52" s="211">
        <f t="shared" si="112"/>
        <v>18333.333333333332</v>
      </c>
      <c r="AM52" s="211">
        <f t="shared" si="112"/>
        <v>43333.333333333328</v>
      </c>
      <c r="AN52" s="211">
        <f t="shared" si="112"/>
        <v>18333.333333333332</v>
      </c>
      <c r="AO52" s="211">
        <f t="shared" si="112"/>
        <v>18333.333333333332</v>
      </c>
      <c r="AP52" s="211">
        <f t="shared" ref="AP52:BQ52" si="113">+SUMIFS(AP$41:AP$46,$E$41:$E$46,$H52)</f>
        <v>43333.333333333328</v>
      </c>
      <c r="AQ52" s="211">
        <f t="shared" si="113"/>
        <v>18333.333333333332</v>
      </c>
      <c r="AR52" s="211">
        <f t="shared" si="113"/>
        <v>18333.333333333332</v>
      </c>
      <c r="AS52" s="211">
        <f t="shared" si="113"/>
        <v>43333.333333333328</v>
      </c>
      <c r="AT52" s="211">
        <f t="shared" si="113"/>
        <v>18333.333333333332</v>
      </c>
      <c r="AU52" s="211">
        <f t="shared" si="113"/>
        <v>18333.333333333332</v>
      </c>
      <c r="AV52" s="211">
        <f t="shared" si="113"/>
        <v>43333.333333333328</v>
      </c>
      <c r="AW52" s="211">
        <f t="shared" si="113"/>
        <v>18333.333333333332</v>
      </c>
      <c r="AX52" s="211">
        <f t="shared" si="113"/>
        <v>18333.333333333332</v>
      </c>
      <c r="AY52" s="211">
        <f t="shared" si="113"/>
        <v>43333.333333333328</v>
      </c>
      <c r="AZ52" s="211">
        <f t="shared" si="113"/>
        <v>18333.333333333332</v>
      </c>
      <c r="BA52" s="211">
        <f t="shared" si="113"/>
        <v>18333.333333333332</v>
      </c>
      <c r="BB52" s="211">
        <f t="shared" si="113"/>
        <v>43333.333333333328</v>
      </c>
      <c r="BC52" s="211">
        <f t="shared" si="113"/>
        <v>18333.333333333332</v>
      </c>
      <c r="BD52" s="211">
        <f t="shared" si="113"/>
        <v>18333.333333333332</v>
      </c>
      <c r="BE52" s="211">
        <f t="shared" si="113"/>
        <v>43333.333333333328</v>
      </c>
      <c r="BF52" s="211">
        <f t="shared" si="113"/>
        <v>18333.333333333332</v>
      </c>
      <c r="BG52" s="211">
        <f t="shared" si="113"/>
        <v>18333.333333333332</v>
      </c>
      <c r="BH52" s="211">
        <f t="shared" si="113"/>
        <v>43333.333333333328</v>
      </c>
      <c r="BI52" s="211">
        <f t="shared" si="113"/>
        <v>18333.333333333332</v>
      </c>
      <c r="BJ52" s="211">
        <f t="shared" si="113"/>
        <v>18333.333333333332</v>
      </c>
      <c r="BK52" s="211">
        <f t="shared" si="113"/>
        <v>43333.333333333328</v>
      </c>
      <c r="BL52" s="211">
        <f t="shared" si="113"/>
        <v>18333.333333333332</v>
      </c>
      <c r="BM52" s="211">
        <f t="shared" si="113"/>
        <v>18333.333333333332</v>
      </c>
      <c r="BN52" s="211">
        <f t="shared" si="113"/>
        <v>43333.333333333328</v>
      </c>
      <c r="BO52" s="211">
        <f t="shared" si="113"/>
        <v>18333.333333333332</v>
      </c>
      <c r="BP52" s="211">
        <f t="shared" si="113"/>
        <v>18333.333333333332</v>
      </c>
      <c r="BQ52" s="211">
        <f t="shared" si="113"/>
        <v>43333.333333333328</v>
      </c>
    </row>
    <row r="53" spans="1:69" outlineLevel="1" x14ac:dyDescent="0.25">
      <c r="B53" s="208"/>
      <c r="C53" s="209"/>
      <c r="E53" s="209"/>
      <c r="F53" s="209"/>
      <c r="G53" s="210"/>
      <c r="H53" s="341" t="str">
        <f>"ITD "&amp;H52</f>
        <v>ITD Dividend Income</v>
      </c>
      <c r="J53" s="211">
        <f>+J52</f>
        <v>0</v>
      </c>
      <c r="K53" s="211">
        <f t="shared" ref="K53:AP53" si="114">+K52+J53</f>
        <v>18333.333333333332</v>
      </c>
      <c r="L53" s="211">
        <f t="shared" si="114"/>
        <v>36666.666666666664</v>
      </c>
      <c r="M53" s="211">
        <f t="shared" si="114"/>
        <v>55000</v>
      </c>
      <c r="N53" s="211">
        <f t="shared" si="114"/>
        <v>73333.333333333328</v>
      </c>
      <c r="O53" s="211">
        <f t="shared" si="114"/>
        <v>100000</v>
      </c>
      <c r="P53" s="211">
        <f t="shared" si="114"/>
        <v>118333.33333333333</v>
      </c>
      <c r="Q53" s="211">
        <f t="shared" si="114"/>
        <v>136666.66666666666</v>
      </c>
      <c r="R53" s="211">
        <f t="shared" si="114"/>
        <v>180000</v>
      </c>
      <c r="S53" s="211">
        <f t="shared" si="114"/>
        <v>198333.33333333334</v>
      </c>
      <c r="T53" s="211">
        <f t="shared" si="114"/>
        <v>216666.66666666669</v>
      </c>
      <c r="U53" s="211">
        <f t="shared" si="114"/>
        <v>260000</v>
      </c>
      <c r="V53" s="211">
        <f t="shared" si="114"/>
        <v>278333.33333333331</v>
      </c>
      <c r="W53" s="211">
        <f t="shared" si="114"/>
        <v>296666.66666666663</v>
      </c>
      <c r="X53" s="211">
        <f t="shared" si="114"/>
        <v>339999.99999999994</v>
      </c>
      <c r="Y53" s="211">
        <f t="shared" si="114"/>
        <v>358333.33333333326</v>
      </c>
      <c r="Z53" s="211">
        <f t="shared" si="114"/>
        <v>376666.66666666657</v>
      </c>
      <c r="AA53" s="211">
        <f t="shared" si="114"/>
        <v>419999.99999999988</v>
      </c>
      <c r="AB53" s="211">
        <f t="shared" si="114"/>
        <v>438333.3333333332</v>
      </c>
      <c r="AC53" s="211">
        <f t="shared" si="114"/>
        <v>456666.66666666651</v>
      </c>
      <c r="AD53" s="211">
        <f t="shared" si="114"/>
        <v>499999.99999999983</v>
      </c>
      <c r="AE53" s="211">
        <f t="shared" si="114"/>
        <v>518333.33333333314</v>
      </c>
      <c r="AF53" s="211">
        <f t="shared" si="114"/>
        <v>536666.66666666651</v>
      </c>
      <c r="AG53" s="211">
        <f t="shared" si="114"/>
        <v>579999.99999999988</v>
      </c>
      <c r="AH53" s="211">
        <f t="shared" si="114"/>
        <v>598333.33333333326</v>
      </c>
      <c r="AI53" s="211">
        <f t="shared" si="114"/>
        <v>616666.66666666663</v>
      </c>
      <c r="AJ53" s="211">
        <f t="shared" si="114"/>
        <v>660000</v>
      </c>
      <c r="AK53" s="211">
        <f t="shared" si="114"/>
        <v>678333.33333333337</v>
      </c>
      <c r="AL53" s="211">
        <f t="shared" si="114"/>
        <v>696666.66666666674</v>
      </c>
      <c r="AM53" s="211">
        <f t="shared" si="114"/>
        <v>740000.00000000012</v>
      </c>
      <c r="AN53" s="211">
        <f t="shared" si="114"/>
        <v>758333.33333333349</v>
      </c>
      <c r="AO53" s="211">
        <f t="shared" si="114"/>
        <v>776666.66666666686</v>
      </c>
      <c r="AP53" s="211">
        <f t="shared" si="114"/>
        <v>820000.00000000023</v>
      </c>
      <c r="AQ53" s="211">
        <f t="shared" ref="AQ53:BQ53" si="115">+AQ52+AP53</f>
        <v>838333.3333333336</v>
      </c>
      <c r="AR53" s="211">
        <f t="shared" si="115"/>
        <v>856666.66666666698</v>
      </c>
      <c r="AS53" s="211">
        <f t="shared" si="115"/>
        <v>900000.00000000035</v>
      </c>
      <c r="AT53" s="211">
        <f t="shared" si="115"/>
        <v>918333.33333333372</v>
      </c>
      <c r="AU53" s="211">
        <f t="shared" si="115"/>
        <v>936666.66666666709</v>
      </c>
      <c r="AV53" s="211">
        <f t="shared" si="115"/>
        <v>980000.00000000047</v>
      </c>
      <c r="AW53" s="211">
        <f t="shared" si="115"/>
        <v>998333.33333333384</v>
      </c>
      <c r="AX53" s="211">
        <f t="shared" si="115"/>
        <v>1016666.6666666672</v>
      </c>
      <c r="AY53" s="211">
        <f t="shared" si="115"/>
        <v>1060000.0000000005</v>
      </c>
      <c r="AZ53" s="211">
        <f t="shared" si="115"/>
        <v>1078333.3333333337</v>
      </c>
      <c r="BA53" s="211">
        <f t="shared" si="115"/>
        <v>1096666.666666667</v>
      </c>
      <c r="BB53" s="211">
        <f t="shared" si="115"/>
        <v>1140000.0000000002</v>
      </c>
      <c r="BC53" s="211">
        <f t="shared" si="115"/>
        <v>1158333.3333333335</v>
      </c>
      <c r="BD53" s="211">
        <f t="shared" si="115"/>
        <v>1176666.6666666667</v>
      </c>
      <c r="BE53" s="211">
        <f t="shared" si="115"/>
        <v>1220000</v>
      </c>
      <c r="BF53" s="211">
        <f t="shared" si="115"/>
        <v>1238333.3333333333</v>
      </c>
      <c r="BG53" s="211">
        <f t="shared" si="115"/>
        <v>1256666.6666666665</v>
      </c>
      <c r="BH53" s="211">
        <f t="shared" si="115"/>
        <v>1299999.9999999998</v>
      </c>
      <c r="BI53" s="211">
        <f t="shared" si="115"/>
        <v>1318333.333333333</v>
      </c>
      <c r="BJ53" s="211">
        <f t="shared" si="115"/>
        <v>1336666.6666666663</v>
      </c>
      <c r="BK53" s="211">
        <f t="shared" si="115"/>
        <v>1379999.9999999995</v>
      </c>
      <c r="BL53" s="211">
        <f t="shared" si="115"/>
        <v>1398333.3333333328</v>
      </c>
      <c r="BM53" s="211">
        <f t="shared" si="115"/>
        <v>1416666.666666666</v>
      </c>
      <c r="BN53" s="211">
        <f t="shared" si="115"/>
        <v>1459999.9999999993</v>
      </c>
      <c r="BO53" s="211">
        <f t="shared" si="115"/>
        <v>1478333.3333333326</v>
      </c>
      <c r="BP53" s="211">
        <f t="shared" si="115"/>
        <v>1496666.6666666658</v>
      </c>
      <c r="BQ53" s="211">
        <f t="shared" si="115"/>
        <v>1539999.9999999991</v>
      </c>
    </row>
    <row r="54" spans="1:69" outlineLevel="1" x14ac:dyDescent="0.25">
      <c r="G54" s="231"/>
      <c r="H54" s="231"/>
    </row>
    <row r="55" spans="1:69" s="126" customFormat="1" x14ac:dyDescent="0.25">
      <c r="A55" s="104"/>
      <c r="B55" s="194" t="s">
        <v>482</v>
      </c>
      <c r="C55" s="232"/>
      <c r="D55" s="232"/>
      <c r="E55" s="232"/>
      <c r="F55" s="232"/>
      <c r="G55" s="232"/>
      <c r="H55" s="232"/>
      <c r="I55" s="244"/>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row>
    <row r="56" spans="1:69" x14ac:dyDescent="0.25">
      <c r="D56" s="126"/>
      <c r="E56" s="126"/>
      <c r="F56" s="126"/>
      <c r="G56" s="231"/>
      <c r="H56" s="231"/>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row>
    <row r="57" spans="1:69" s="126" customFormat="1" ht="16.5" thickBot="1" x14ac:dyDescent="0.3">
      <c r="A57" s="104"/>
      <c r="G57" s="231"/>
      <c r="H57" s="231"/>
      <c r="I57" s="243"/>
    </row>
    <row r="58" spans="1:69" x14ac:dyDescent="0.25">
      <c r="B58" s="212" t="s">
        <v>251</v>
      </c>
      <c r="C58" s="213" t="s">
        <v>250</v>
      </c>
      <c r="D58" s="213" t="s">
        <v>77</v>
      </c>
      <c r="E58" s="213" t="str">
        <f>+E40</f>
        <v>Description</v>
      </c>
      <c r="F58" s="213" t="str">
        <f>+F40</f>
        <v>Notes</v>
      </c>
      <c r="G58" s="213" t="s">
        <v>247</v>
      </c>
      <c r="H58" s="214" t="s">
        <v>246</v>
      </c>
      <c r="J58" s="262">
        <f t="shared" ref="J58:AO58" si="116">+J5</f>
        <v>45322</v>
      </c>
      <c r="K58" s="263">
        <f t="shared" si="116"/>
        <v>45351</v>
      </c>
      <c r="L58" s="263">
        <f t="shared" si="116"/>
        <v>45382</v>
      </c>
      <c r="M58" s="263">
        <f t="shared" si="116"/>
        <v>45412</v>
      </c>
      <c r="N58" s="263">
        <f t="shared" si="116"/>
        <v>45443</v>
      </c>
      <c r="O58" s="263">
        <f t="shared" si="116"/>
        <v>45473</v>
      </c>
      <c r="P58" s="263">
        <f t="shared" si="116"/>
        <v>45504</v>
      </c>
      <c r="Q58" s="263">
        <f t="shared" si="116"/>
        <v>45535</v>
      </c>
      <c r="R58" s="263">
        <f t="shared" si="116"/>
        <v>45565</v>
      </c>
      <c r="S58" s="263">
        <f t="shared" si="116"/>
        <v>45596</v>
      </c>
      <c r="T58" s="263">
        <f t="shared" si="116"/>
        <v>45626</v>
      </c>
      <c r="U58" s="263">
        <f t="shared" si="116"/>
        <v>45657</v>
      </c>
      <c r="V58" s="263">
        <f t="shared" si="116"/>
        <v>45688</v>
      </c>
      <c r="W58" s="263">
        <f t="shared" si="116"/>
        <v>45716</v>
      </c>
      <c r="X58" s="263">
        <f t="shared" si="116"/>
        <v>45747</v>
      </c>
      <c r="Y58" s="263">
        <f t="shared" si="116"/>
        <v>45777</v>
      </c>
      <c r="Z58" s="263">
        <f t="shared" si="116"/>
        <v>45808</v>
      </c>
      <c r="AA58" s="263">
        <f t="shared" si="116"/>
        <v>45838</v>
      </c>
      <c r="AB58" s="263">
        <f t="shared" si="116"/>
        <v>45869</v>
      </c>
      <c r="AC58" s="263">
        <f t="shared" si="116"/>
        <v>45900</v>
      </c>
      <c r="AD58" s="263">
        <f t="shared" si="116"/>
        <v>45930</v>
      </c>
      <c r="AE58" s="263">
        <f t="shared" si="116"/>
        <v>45961</v>
      </c>
      <c r="AF58" s="263">
        <f t="shared" si="116"/>
        <v>45991</v>
      </c>
      <c r="AG58" s="263">
        <f t="shared" si="116"/>
        <v>46022</v>
      </c>
      <c r="AH58" s="263">
        <f t="shared" si="116"/>
        <v>46053</v>
      </c>
      <c r="AI58" s="263">
        <f t="shared" si="116"/>
        <v>46081</v>
      </c>
      <c r="AJ58" s="263">
        <f t="shared" si="116"/>
        <v>46112</v>
      </c>
      <c r="AK58" s="263">
        <f t="shared" si="116"/>
        <v>46142</v>
      </c>
      <c r="AL58" s="263">
        <f t="shared" si="116"/>
        <v>46173</v>
      </c>
      <c r="AM58" s="263">
        <f t="shared" si="116"/>
        <v>46203</v>
      </c>
      <c r="AN58" s="263">
        <f t="shared" si="116"/>
        <v>46234</v>
      </c>
      <c r="AO58" s="263">
        <f t="shared" si="116"/>
        <v>46265</v>
      </c>
      <c r="AP58" s="263">
        <f t="shared" ref="AP58:BQ58" si="117">+AP5</f>
        <v>46295</v>
      </c>
      <c r="AQ58" s="263">
        <f t="shared" si="117"/>
        <v>46326</v>
      </c>
      <c r="AR58" s="263">
        <f t="shared" si="117"/>
        <v>46356</v>
      </c>
      <c r="AS58" s="263">
        <f t="shared" si="117"/>
        <v>46387</v>
      </c>
      <c r="AT58" s="263">
        <f t="shared" si="117"/>
        <v>46418</v>
      </c>
      <c r="AU58" s="263">
        <f t="shared" si="117"/>
        <v>46446</v>
      </c>
      <c r="AV58" s="263">
        <f t="shared" si="117"/>
        <v>46477</v>
      </c>
      <c r="AW58" s="263">
        <f t="shared" si="117"/>
        <v>46507</v>
      </c>
      <c r="AX58" s="263">
        <f t="shared" si="117"/>
        <v>46538</v>
      </c>
      <c r="AY58" s="263">
        <f t="shared" si="117"/>
        <v>46568</v>
      </c>
      <c r="AZ58" s="263">
        <f t="shared" si="117"/>
        <v>46599</v>
      </c>
      <c r="BA58" s="263">
        <f t="shared" si="117"/>
        <v>46630</v>
      </c>
      <c r="BB58" s="263">
        <f t="shared" si="117"/>
        <v>46660</v>
      </c>
      <c r="BC58" s="263">
        <f t="shared" si="117"/>
        <v>46691</v>
      </c>
      <c r="BD58" s="263">
        <f t="shared" si="117"/>
        <v>46721</v>
      </c>
      <c r="BE58" s="263">
        <f t="shared" si="117"/>
        <v>46752</v>
      </c>
      <c r="BF58" s="263">
        <f t="shared" si="117"/>
        <v>46783</v>
      </c>
      <c r="BG58" s="263">
        <f t="shared" si="117"/>
        <v>46812</v>
      </c>
      <c r="BH58" s="263">
        <f t="shared" si="117"/>
        <v>46843</v>
      </c>
      <c r="BI58" s="263">
        <f t="shared" si="117"/>
        <v>46873</v>
      </c>
      <c r="BJ58" s="263">
        <f t="shared" si="117"/>
        <v>46904</v>
      </c>
      <c r="BK58" s="263">
        <f t="shared" si="117"/>
        <v>46934</v>
      </c>
      <c r="BL58" s="263">
        <f t="shared" si="117"/>
        <v>46965</v>
      </c>
      <c r="BM58" s="263">
        <f t="shared" si="117"/>
        <v>46996</v>
      </c>
      <c r="BN58" s="263">
        <f t="shared" si="117"/>
        <v>47026</v>
      </c>
      <c r="BO58" s="263">
        <f t="shared" si="117"/>
        <v>47057</v>
      </c>
      <c r="BP58" s="263">
        <f t="shared" si="117"/>
        <v>47087</v>
      </c>
      <c r="BQ58" s="264">
        <f t="shared" si="117"/>
        <v>47118</v>
      </c>
    </row>
    <row r="59" spans="1:69" x14ac:dyDescent="0.25">
      <c r="B59" s="215" t="s">
        <v>175</v>
      </c>
      <c r="C59" s="312">
        <v>0.02</v>
      </c>
      <c r="D59" s="197" t="s">
        <v>253</v>
      </c>
      <c r="E59" s="198" t="s">
        <v>411</v>
      </c>
      <c r="F59" s="198"/>
      <c r="G59" s="199">
        <f>EOMONTH('Business Plan'!D23,1)</f>
        <v>45322</v>
      </c>
      <c r="H59" s="216">
        <f>+'Business Plan'!D24</f>
        <v>47118</v>
      </c>
      <c r="I59" s="246">
        <f>SUM(J59:BQ59)</f>
        <v>-1500000</v>
      </c>
      <c r="J59" s="265">
        <f>IF(+DATE(YEAR(J58),CEILING(MONTH(J58),3)+1,0)=J58,IF(AND(J$58&gt;=$G59,J$58&lt;=$H59),-$C$12*$C$59/4,0),0)</f>
        <v>0</v>
      </c>
      <c r="K59" s="197">
        <f t="shared" ref="K59:V59" si="118">IF(+DATE(YEAR(K58),CEILING(MONTH(K58),3)+1,0)=K58,IF(AND(K$58&gt;=$G59,K$58&lt;=$H59),-$C$12*$C$59/4,0),0)</f>
        <v>0</v>
      </c>
      <c r="L59" s="197">
        <f t="shared" si="118"/>
        <v>-75000</v>
      </c>
      <c r="M59" s="197">
        <f t="shared" si="118"/>
        <v>0</v>
      </c>
      <c r="N59" s="197">
        <f t="shared" si="118"/>
        <v>0</v>
      </c>
      <c r="O59" s="197">
        <f t="shared" si="118"/>
        <v>-75000</v>
      </c>
      <c r="P59" s="197">
        <f t="shared" si="118"/>
        <v>0</v>
      </c>
      <c r="Q59" s="197">
        <f t="shared" si="118"/>
        <v>0</v>
      </c>
      <c r="R59" s="197">
        <f t="shared" si="118"/>
        <v>-75000</v>
      </c>
      <c r="S59" s="197">
        <f t="shared" si="118"/>
        <v>0</v>
      </c>
      <c r="T59" s="197">
        <f t="shared" si="118"/>
        <v>0</v>
      </c>
      <c r="U59" s="197">
        <f t="shared" si="118"/>
        <v>-75000</v>
      </c>
      <c r="V59" s="197">
        <f t="shared" si="118"/>
        <v>0</v>
      </c>
      <c r="W59" s="197">
        <f t="shared" ref="W59" si="119">IF(+DATE(YEAR(W58),CEILING(MONTH(W58),3)+1,0)=W58,IF(AND(W$58&gt;=$G59,W$58&lt;=$H59),-$C$12*$C$59/4,0),0)</f>
        <v>0</v>
      </c>
      <c r="X59" s="197">
        <f t="shared" ref="X59" si="120">IF(+DATE(YEAR(X58),CEILING(MONTH(X58),3)+1,0)=X58,IF(AND(X$58&gt;=$G59,X$58&lt;=$H59),-$C$12*$C$59/4,0),0)</f>
        <v>-75000</v>
      </c>
      <c r="Y59" s="197">
        <f t="shared" ref="Y59" si="121">IF(+DATE(YEAR(Y58),CEILING(MONTH(Y58),3)+1,0)=Y58,IF(AND(Y$58&gt;=$G59,Y$58&lt;=$H59),-$C$12*$C$59/4,0),0)</f>
        <v>0</v>
      </c>
      <c r="Z59" s="197">
        <f t="shared" ref="Z59" si="122">IF(+DATE(YEAR(Z58),CEILING(MONTH(Z58),3)+1,0)=Z58,IF(AND(Z$58&gt;=$G59,Z$58&lt;=$H59),-$C$12*$C$59/4,0),0)</f>
        <v>0</v>
      </c>
      <c r="AA59" s="197">
        <f t="shared" ref="AA59" si="123">IF(+DATE(YEAR(AA58),CEILING(MONTH(AA58),3)+1,0)=AA58,IF(AND(AA$58&gt;=$G59,AA$58&lt;=$H59),-$C$12*$C$59/4,0),0)</f>
        <v>-75000</v>
      </c>
      <c r="AB59" s="197">
        <f t="shared" ref="AB59" si="124">IF(+DATE(YEAR(AB58),CEILING(MONTH(AB58),3)+1,0)=AB58,IF(AND(AB$58&gt;=$G59,AB$58&lt;=$H59),-$C$12*$C$59/4,0),0)</f>
        <v>0</v>
      </c>
      <c r="AC59" s="197">
        <f t="shared" ref="AC59" si="125">IF(+DATE(YEAR(AC58),CEILING(MONTH(AC58),3)+1,0)=AC58,IF(AND(AC$58&gt;=$G59,AC$58&lt;=$H59),-$C$12*$C$59/4,0),0)</f>
        <v>0</v>
      </c>
      <c r="AD59" s="197">
        <f t="shared" ref="AD59" si="126">IF(+DATE(YEAR(AD58),CEILING(MONTH(AD58),3)+1,0)=AD58,IF(AND(AD$58&gt;=$G59,AD$58&lt;=$H59),-$C$12*$C$59/4,0),0)</f>
        <v>-75000</v>
      </c>
      <c r="AE59" s="197">
        <f t="shared" ref="AE59" si="127">IF(+DATE(YEAR(AE58),CEILING(MONTH(AE58),3)+1,0)=AE58,IF(AND(AE$58&gt;=$G59,AE$58&lt;=$H59),-$C$12*$C$59/4,0),0)</f>
        <v>0</v>
      </c>
      <c r="AF59" s="197">
        <f t="shared" ref="AF59" si="128">IF(+DATE(YEAR(AF58),CEILING(MONTH(AF58),3)+1,0)=AF58,IF(AND(AF$58&gt;=$G59,AF$58&lt;=$H59),-$C$12*$C$59/4,0),0)</f>
        <v>0</v>
      </c>
      <c r="AG59" s="197">
        <f t="shared" ref="AG59:AH59" si="129">IF(+DATE(YEAR(AG58),CEILING(MONTH(AG58),3)+1,0)=AG58,IF(AND(AG$58&gt;=$G59,AG$58&lt;=$H59),-$C$12*$C$59/4,0),0)</f>
        <v>-75000</v>
      </c>
      <c r="AH59" s="197">
        <f t="shared" si="129"/>
        <v>0</v>
      </c>
      <c r="AI59" s="197">
        <f t="shared" ref="AI59" si="130">IF(+DATE(YEAR(AI58),CEILING(MONTH(AI58),3)+1,0)=AI58,IF(AND(AI$58&gt;=$G59,AI$58&lt;=$H59),-$C$12*$C$59/4,0),0)</f>
        <v>0</v>
      </c>
      <c r="AJ59" s="197">
        <f t="shared" ref="AJ59" si="131">IF(+DATE(YEAR(AJ58),CEILING(MONTH(AJ58),3)+1,0)=AJ58,IF(AND(AJ$58&gt;=$G59,AJ$58&lt;=$H59),-$C$12*$C$59/4,0),0)</f>
        <v>-75000</v>
      </c>
      <c r="AK59" s="197">
        <f t="shared" ref="AK59" si="132">IF(+DATE(YEAR(AK58),CEILING(MONTH(AK58),3)+1,0)=AK58,IF(AND(AK$58&gt;=$G59,AK$58&lt;=$H59),-$C$12*$C$59/4,0),0)</f>
        <v>0</v>
      </c>
      <c r="AL59" s="197">
        <f t="shared" ref="AL59" si="133">IF(+DATE(YEAR(AL58),CEILING(MONTH(AL58),3)+1,0)=AL58,IF(AND(AL$58&gt;=$G59,AL$58&lt;=$H59),-$C$12*$C$59/4,0),0)</f>
        <v>0</v>
      </c>
      <c r="AM59" s="197">
        <f t="shared" ref="AM59" si="134">IF(+DATE(YEAR(AM58),CEILING(MONTH(AM58),3)+1,0)=AM58,IF(AND(AM$58&gt;=$G59,AM$58&lt;=$H59),-$C$12*$C$59/4,0),0)</f>
        <v>-75000</v>
      </c>
      <c r="AN59" s="197">
        <f t="shared" ref="AN59" si="135">IF(+DATE(YEAR(AN58),CEILING(MONTH(AN58),3)+1,0)=AN58,IF(AND(AN$58&gt;=$G59,AN$58&lt;=$H59),-$C$12*$C$59/4,0),0)</f>
        <v>0</v>
      </c>
      <c r="AO59" s="197">
        <f t="shared" ref="AO59" si="136">IF(+DATE(YEAR(AO58),CEILING(MONTH(AO58),3)+1,0)=AO58,IF(AND(AO$58&gt;=$G59,AO$58&lt;=$H59),-$C$12*$C$59/4,0),0)</f>
        <v>0</v>
      </c>
      <c r="AP59" s="197">
        <f t="shared" ref="AP59" si="137">IF(+DATE(YEAR(AP58),CEILING(MONTH(AP58),3)+1,0)=AP58,IF(AND(AP$58&gt;=$G59,AP$58&lt;=$H59),-$C$12*$C$59/4,0),0)</f>
        <v>-75000</v>
      </c>
      <c r="AQ59" s="197">
        <f t="shared" ref="AQ59" si="138">IF(+DATE(YEAR(AQ58),CEILING(MONTH(AQ58),3)+1,0)=AQ58,IF(AND(AQ$58&gt;=$G59,AQ$58&lt;=$H59),-$C$12*$C$59/4,0),0)</f>
        <v>0</v>
      </c>
      <c r="AR59" s="197">
        <f t="shared" ref="AR59" si="139">IF(+DATE(YEAR(AR58),CEILING(MONTH(AR58),3)+1,0)=AR58,IF(AND(AR$58&gt;=$G59,AR$58&lt;=$H59),-$C$12*$C$59/4,0),0)</f>
        <v>0</v>
      </c>
      <c r="AS59" s="197">
        <f t="shared" ref="AS59:AT59" si="140">IF(+DATE(YEAR(AS58),CEILING(MONTH(AS58),3)+1,0)=AS58,IF(AND(AS$58&gt;=$G59,AS$58&lt;=$H59),-$C$12*$C$59/4,0),0)</f>
        <v>-75000</v>
      </c>
      <c r="AT59" s="197">
        <f t="shared" si="140"/>
        <v>0</v>
      </c>
      <c r="AU59" s="197">
        <f t="shared" ref="AU59" si="141">IF(+DATE(YEAR(AU58),CEILING(MONTH(AU58),3)+1,0)=AU58,IF(AND(AU$58&gt;=$G59,AU$58&lt;=$H59),-$C$12*$C$59/4,0),0)</f>
        <v>0</v>
      </c>
      <c r="AV59" s="197">
        <f t="shared" ref="AV59" si="142">IF(+DATE(YEAR(AV58),CEILING(MONTH(AV58),3)+1,0)=AV58,IF(AND(AV$58&gt;=$G59,AV$58&lt;=$H59),-$C$12*$C$59/4,0),0)</f>
        <v>-75000</v>
      </c>
      <c r="AW59" s="197">
        <f t="shared" ref="AW59" si="143">IF(+DATE(YEAR(AW58),CEILING(MONTH(AW58),3)+1,0)=AW58,IF(AND(AW$58&gt;=$G59,AW$58&lt;=$H59),-$C$12*$C$59/4,0),0)</f>
        <v>0</v>
      </c>
      <c r="AX59" s="197">
        <f t="shared" ref="AX59" si="144">IF(+DATE(YEAR(AX58),CEILING(MONTH(AX58),3)+1,0)=AX58,IF(AND(AX$58&gt;=$G59,AX$58&lt;=$H59),-$C$12*$C$59/4,0),0)</f>
        <v>0</v>
      </c>
      <c r="AY59" s="197">
        <f t="shared" ref="AY59" si="145">IF(+DATE(YEAR(AY58),CEILING(MONTH(AY58),3)+1,0)=AY58,IF(AND(AY$58&gt;=$G59,AY$58&lt;=$H59),-$C$12*$C$59/4,0),0)</f>
        <v>-75000</v>
      </c>
      <c r="AZ59" s="197">
        <f t="shared" ref="AZ59" si="146">IF(+DATE(YEAR(AZ58),CEILING(MONTH(AZ58),3)+1,0)=AZ58,IF(AND(AZ$58&gt;=$G59,AZ$58&lt;=$H59),-$C$12*$C$59/4,0),0)</f>
        <v>0</v>
      </c>
      <c r="BA59" s="197">
        <f t="shared" ref="BA59" si="147">IF(+DATE(YEAR(BA58),CEILING(MONTH(BA58),3)+1,0)=BA58,IF(AND(BA$58&gt;=$G59,BA$58&lt;=$H59),-$C$12*$C$59/4,0),0)</f>
        <v>0</v>
      </c>
      <c r="BB59" s="197">
        <f t="shared" ref="BB59" si="148">IF(+DATE(YEAR(BB58),CEILING(MONTH(BB58),3)+1,0)=BB58,IF(AND(BB$58&gt;=$G59,BB$58&lt;=$H59),-$C$12*$C$59/4,0),0)</f>
        <v>-75000</v>
      </c>
      <c r="BC59" s="197">
        <f t="shared" ref="BC59" si="149">IF(+DATE(YEAR(BC58),CEILING(MONTH(BC58),3)+1,0)=BC58,IF(AND(BC$58&gt;=$G59,BC$58&lt;=$H59),-$C$12*$C$59/4,0),0)</f>
        <v>0</v>
      </c>
      <c r="BD59" s="197">
        <f t="shared" ref="BD59" si="150">IF(+DATE(YEAR(BD58),CEILING(MONTH(BD58),3)+1,0)=BD58,IF(AND(BD$58&gt;=$G59,BD$58&lt;=$H59),-$C$12*$C$59/4,0),0)</f>
        <v>0</v>
      </c>
      <c r="BE59" s="197">
        <f t="shared" ref="BE59:BF59" si="151">IF(+DATE(YEAR(BE58),CEILING(MONTH(BE58),3)+1,0)=BE58,IF(AND(BE$58&gt;=$G59,BE$58&lt;=$H59),-$C$12*$C$59/4,0),0)</f>
        <v>-75000</v>
      </c>
      <c r="BF59" s="197">
        <f t="shared" si="151"/>
        <v>0</v>
      </c>
      <c r="BG59" s="197">
        <f t="shared" ref="BG59" si="152">IF(+DATE(YEAR(BG58),CEILING(MONTH(BG58),3)+1,0)=BG58,IF(AND(BG$58&gt;=$G59,BG$58&lt;=$H59),-$C$12*$C$59/4,0),0)</f>
        <v>0</v>
      </c>
      <c r="BH59" s="197">
        <f t="shared" ref="BH59" si="153">IF(+DATE(YEAR(BH58),CEILING(MONTH(BH58),3)+1,0)=BH58,IF(AND(BH$58&gt;=$G59,BH$58&lt;=$H59),-$C$12*$C$59/4,0),0)</f>
        <v>-75000</v>
      </c>
      <c r="BI59" s="197">
        <f t="shared" ref="BI59" si="154">IF(+DATE(YEAR(BI58),CEILING(MONTH(BI58),3)+1,0)=BI58,IF(AND(BI$58&gt;=$G59,BI$58&lt;=$H59),-$C$12*$C$59/4,0),0)</f>
        <v>0</v>
      </c>
      <c r="BJ59" s="197">
        <f t="shared" ref="BJ59" si="155">IF(+DATE(YEAR(BJ58),CEILING(MONTH(BJ58),3)+1,0)=BJ58,IF(AND(BJ$58&gt;=$G59,BJ$58&lt;=$H59),-$C$12*$C$59/4,0),0)</f>
        <v>0</v>
      </c>
      <c r="BK59" s="197">
        <f t="shared" ref="BK59" si="156">IF(+DATE(YEAR(BK58),CEILING(MONTH(BK58),3)+1,0)=BK58,IF(AND(BK$58&gt;=$G59,BK$58&lt;=$H59),-$C$12*$C$59/4,0),0)</f>
        <v>-75000</v>
      </c>
      <c r="BL59" s="197">
        <f t="shared" ref="BL59" si="157">IF(+DATE(YEAR(BL58),CEILING(MONTH(BL58),3)+1,0)=BL58,IF(AND(BL$58&gt;=$G59,BL$58&lt;=$H59),-$C$12*$C$59/4,0),0)</f>
        <v>0</v>
      </c>
      <c r="BM59" s="197">
        <f t="shared" ref="BM59" si="158">IF(+DATE(YEAR(BM58),CEILING(MONTH(BM58),3)+1,0)=BM58,IF(AND(BM$58&gt;=$G59,BM$58&lt;=$H59),-$C$12*$C$59/4,0),0)</f>
        <v>0</v>
      </c>
      <c r="BN59" s="197">
        <f t="shared" ref="BN59" si="159">IF(+DATE(YEAR(BN58),CEILING(MONTH(BN58),3)+1,0)=BN58,IF(AND(BN$58&gt;=$G59,BN$58&lt;=$H59),-$C$12*$C$59/4,0),0)</f>
        <v>-75000</v>
      </c>
      <c r="BO59" s="197">
        <f t="shared" ref="BO59" si="160">IF(+DATE(YEAR(BO58),CEILING(MONTH(BO58),3)+1,0)=BO58,IF(AND(BO$58&gt;=$G59,BO$58&lt;=$H59),-$C$12*$C$59/4,0),0)</f>
        <v>0</v>
      </c>
      <c r="BP59" s="197">
        <f t="shared" ref="BP59" si="161">IF(+DATE(YEAR(BP58),CEILING(MONTH(BP58),3)+1,0)=BP58,IF(AND(BP$58&gt;=$G59,BP$58&lt;=$H59),-$C$12*$C$59/4,0),0)</f>
        <v>0</v>
      </c>
      <c r="BQ59" s="266">
        <f t="shared" ref="BQ59" si="162">IF(+DATE(YEAR(BQ58),CEILING(MONTH(BQ58),3)+1,0)=BQ58,IF(AND(BQ$58&gt;=$G59,BQ$58&lt;=$H59),-$C$12*$C$59/4,0),0)</f>
        <v>-75000</v>
      </c>
    </row>
    <row r="60" spans="1:69" ht="16.5" thickBot="1" x14ac:dyDescent="0.3">
      <c r="B60" s="257"/>
      <c r="C60" s="258"/>
      <c r="D60" s="259"/>
      <c r="E60" s="259"/>
      <c r="F60" s="259"/>
      <c r="G60" s="260"/>
      <c r="H60" s="261"/>
      <c r="I60" s="246">
        <f>SUM(J60:BQ60)</f>
        <v>0</v>
      </c>
      <c r="J60" s="276">
        <f t="shared" ref="J60:AO60" si="163">IF(AND(J$58&gt;=$G60,J$58&lt;=$H60),$C60,0)</f>
        <v>0</v>
      </c>
      <c r="K60" s="277">
        <f t="shared" si="163"/>
        <v>0</v>
      </c>
      <c r="L60" s="277">
        <f t="shared" si="163"/>
        <v>0</v>
      </c>
      <c r="M60" s="277">
        <f t="shared" si="163"/>
        <v>0</v>
      </c>
      <c r="N60" s="277">
        <f t="shared" si="163"/>
        <v>0</v>
      </c>
      <c r="O60" s="277">
        <f t="shared" si="163"/>
        <v>0</v>
      </c>
      <c r="P60" s="277">
        <f t="shared" si="163"/>
        <v>0</v>
      </c>
      <c r="Q60" s="277">
        <f t="shared" si="163"/>
        <v>0</v>
      </c>
      <c r="R60" s="277">
        <f t="shared" si="163"/>
        <v>0</v>
      </c>
      <c r="S60" s="277">
        <f t="shared" si="163"/>
        <v>0</v>
      </c>
      <c r="T60" s="277">
        <f t="shared" si="163"/>
        <v>0</v>
      </c>
      <c r="U60" s="277">
        <f t="shared" si="163"/>
        <v>0</v>
      </c>
      <c r="V60" s="277">
        <f t="shared" si="163"/>
        <v>0</v>
      </c>
      <c r="W60" s="277">
        <f t="shared" si="163"/>
        <v>0</v>
      </c>
      <c r="X60" s="277">
        <f t="shared" si="163"/>
        <v>0</v>
      </c>
      <c r="Y60" s="277">
        <f t="shared" si="163"/>
        <v>0</v>
      </c>
      <c r="Z60" s="277">
        <f t="shared" si="163"/>
        <v>0</v>
      </c>
      <c r="AA60" s="277">
        <f t="shared" si="163"/>
        <v>0</v>
      </c>
      <c r="AB60" s="277">
        <f t="shared" si="163"/>
        <v>0</v>
      </c>
      <c r="AC60" s="277">
        <f t="shared" si="163"/>
        <v>0</v>
      </c>
      <c r="AD60" s="277">
        <f t="shared" si="163"/>
        <v>0</v>
      </c>
      <c r="AE60" s="277">
        <f t="shared" si="163"/>
        <v>0</v>
      </c>
      <c r="AF60" s="277">
        <f t="shared" si="163"/>
        <v>0</v>
      </c>
      <c r="AG60" s="277">
        <f t="shared" si="163"/>
        <v>0</v>
      </c>
      <c r="AH60" s="277">
        <f t="shared" si="163"/>
        <v>0</v>
      </c>
      <c r="AI60" s="277">
        <f t="shared" si="163"/>
        <v>0</v>
      </c>
      <c r="AJ60" s="277">
        <f t="shared" si="163"/>
        <v>0</v>
      </c>
      <c r="AK60" s="277">
        <f t="shared" si="163"/>
        <v>0</v>
      </c>
      <c r="AL60" s="277">
        <f t="shared" si="163"/>
        <v>0</v>
      </c>
      <c r="AM60" s="277">
        <f t="shared" si="163"/>
        <v>0</v>
      </c>
      <c r="AN60" s="277">
        <f t="shared" si="163"/>
        <v>0</v>
      </c>
      <c r="AO60" s="277">
        <f t="shared" si="163"/>
        <v>0</v>
      </c>
      <c r="AP60" s="277">
        <f t="shared" ref="AP60:BQ60" si="164">IF(AND(AP$58&gt;=$G60,AP$58&lt;=$H60),$C60,0)</f>
        <v>0</v>
      </c>
      <c r="AQ60" s="277">
        <f t="shared" si="164"/>
        <v>0</v>
      </c>
      <c r="AR60" s="277">
        <f t="shared" si="164"/>
        <v>0</v>
      </c>
      <c r="AS60" s="277">
        <f t="shared" si="164"/>
        <v>0</v>
      </c>
      <c r="AT60" s="277">
        <f t="shared" si="164"/>
        <v>0</v>
      </c>
      <c r="AU60" s="277">
        <f t="shared" si="164"/>
        <v>0</v>
      </c>
      <c r="AV60" s="277">
        <f t="shared" si="164"/>
        <v>0</v>
      </c>
      <c r="AW60" s="277">
        <f t="shared" si="164"/>
        <v>0</v>
      </c>
      <c r="AX60" s="277">
        <f t="shared" si="164"/>
        <v>0</v>
      </c>
      <c r="AY60" s="277">
        <f t="shared" si="164"/>
        <v>0</v>
      </c>
      <c r="AZ60" s="277">
        <f t="shared" si="164"/>
        <v>0</v>
      </c>
      <c r="BA60" s="277">
        <f t="shared" si="164"/>
        <v>0</v>
      </c>
      <c r="BB60" s="277">
        <f t="shared" si="164"/>
        <v>0</v>
      </c>
      <c r="BC60" s="277">
        <f t="shared" si="164"/>
        <v>0</v>
      </c>
      <c r="BD60" s="277">
        <f t="shared" si="164"/>
        <v>0</v>
      </c>
      <c r="BE60" s="277">
        <f t="shared" si="164"/>
        <v>0</v>
      </c>
      <c r="BF60" s="277">
        <f t="shared" si="164"/>
        <v>0</v>
      </c>
      <c r="BG60" s="277">
        <f t="shared" si="164"/>
        <v>0</v>
      </c>
      <c r="BH60" s="277">
        <f t="shared" si="164"/>
        <v>0</v>
      </c>
      <c r="BI60" s="277">
        <f t="shared" si="164"/>
        <v>0</v>
      </c>
      <c r="BJ60" s="277">
        <f t="shared" si="164"/>
        <v>0</v>
      </c>
      <c r="BK60" s="277">
        <f t="shared" si="164"/>
        <v>0</v>
      </c>
      <c r="BL60" s="277">
        <f t="shared" si="164"/>
        <v>0</v>
      </c>
      <c r="BM60" s="277">
        <f t="shared" si="164"/>
        <v>0</v>
      </c>
      <c r="BN60" s="277">
        <f t="shared" si="164"/>
        <v>0</v>
      </c>
      <c r="BO60" s="277">
        <f t="shared" si="164"/>
        <v>0</v>
      </c>
      <c r="BP60" s="277">
        <f t="shared" si="164"/>
        <v>0</v>
      </c>
      <c r="BQ60" s="278">
        <f t="shared" si="164"/>
        <v>0</v>
      </c>
    </row>
    <row r="62" spans="1:69" ht="16.5" thickBot="1" x14ac:dyDescent="0.3">
      <c r="C62" s="313">
        <f>+C12*C59</f>
        <v>300000</v>
      </c>
      <c r="E62" s="126"/>
      <c r="F62" s="126"/>
      <c r="G62" s="126"/>
      <c r="H62" s="342" t="str">
        <f>"Total"&amp;RIGHT(B55,LEN(B55)-2)</f>
        <v>Total Mgmt. Fee</v>
      </c>
      <c r="I62" s="246"/>
      <c r="J62" s="207">
        <f t="shared" ref="J62:AO62" si="165">SUM(J59:J61)</f>
        <v>0</v>
      </c>
      <c r="K62" s="207">
        <f t="shared" si="165"/>
        <v>0</v>
      </c>
      <c r="L62" s="207">
        <f t="shared" si="165"/>
        <v>-75000</v>
      </c>
      <c r="M62" s="207">
        <f t="shared" si="165"/>
        <v>0</v>
      </c>
      <c r="N62" s="207">
        <f t="shared" si="165"/>
        <v>0</v>
      </c>
      <c r="O62" s="207">
        <f t="shared" si="165"/>
        <v>-75000</v>
      </c>
      <c r="P62" s="207">
        <f t="shared" si="165"/>
        <v>0</v>
      </c>
      <c r="Q62" s="207">
        <f t="shared" si="165"/>
        <v>0</v>
      </c>
      <c r="R62" s="207">
        <f t="shared" si="165"/>
        <v>-75000</v>
      </c>
      <c r="S62" s="207">
        <f t="shared" si="165"/>
        <v>0</v>
      </c>
      <c r="T62" s="207">
        <f t="shared" si="165"/>
        <v>0</v>
      </c>
      <c r="U62" s="207">
        <f t="shared" si="165"/>
        <v>-75000</v>
      </c>
      <c r="V62" s="207">
        <f t="shared" si="165"/>
        <v>0</v>
      </c>
      <c r="W62" s="207">
        <f t="shared" si="165"/>
        <v>0</v>
      </c>
      <c r="X62" s="207">
        <f t="shared" si="165"/>
        <v>-75000</v>
      </c>
      <c r="Y62" s="207">
        <f t="shared" si="165"/>
        <v>0</v>
      </c>
      <c r="Z62" s="207">
        <f t="shared" si="165"/>
        <v>0</v>
      </c>
      <c r="AA62" s="207">
        <f t="shared" si="165"/>
        <v>-75000</v>
      </c>
      <c r="AB62" s="207">
        <f t="shared" si="165"/>
        <v>0</v>
      </c>
      <c r="AC62" s="207">
        <f t="shared" si="165"/>
        <v>0</v>
      </c>
      <c r="AD62" s="207">
        <f t="shared" si="165"/>
        <v>-75000</v>
      </c>
      <c r="AE62" s="207">
        <f t="shared" si="165"/>
        <v>0</v>
      </c>
      <c r="AF62" s="207">
        <f t="shared" si="165"/>
        <v>0</v>
      </c>
      <c r="AG62" s="207">
        <f t="shared" si="165"/>
        <v>-75000</v>
      </c>
      <c r="AH62" s="207">
        <f t="shared" si="165"/>
        <v>0</v>
      </c>
      <c r="AI62" s="207">
        <f t="shared" si="165"/>
        <v>0</v>
      </c>
      <c r="AJ62" s="207">
        <f t="shared" si="165"/>
        <v>-75000</v>
      </c>
      <c r="AK62" s="207">
        <f t="shared" si="165"/>
        <v>0</v>
      </c>
      <c r="AL62" s="207">
        <f t="shared" si="165"/>
        <v>0</v>
      </c>
      <c r="AM62" s="207">
        <f t="shared" si="165"/>
        <v>-75000</v>
      </c>
      <c r="AN62" s="207">
        <f t="shared" si="165"/>
        <v>0</v>
      </c>
      <c r="AO62" s="207">
        <f t="shared" si="165"/>
        <v>0</v>
      </c>
      <c r="AP62" s="207">
        <f t="shared" ref="AP62:BQ62" si="166">SUM(AP59:AP61)</f>
        <v>-75000</v>
      </c>
      <c r="AQ62" s="207">
        <f t="shared" si="166"/>
        <v>0</v>
      </c>
      <c r="AR62" s="207">
        <f t="shared" si="166"/>
        <v>0</v>
      </c>
      <c r="AS62" s="207">
        <f t="shared" si="166"/>
        <v>-75000</v>
      </c>
      <c r="AT62" s="207">
        <f t="shared" si="166"/>
        <v>0</v>
      </c>
      <c r="AU62" s="207">
        <f t="shared" si="166"/>
        <v>0</v>
      </c>
      <c r="AV62" s="207">
        <f t="shared" si="166"/>
        <v>-75000</v>
      </c>
      <c r="AW62" s="207">
        <f t="shared" si="166"/>
        <v>0</v>
      </c>
      <c r="AX62" s="207">
        <f t="shared" si="166"/>
        <v>0</v>
      </c>
      <c r="AY62" s="207">
        <f t="shared" si="166"/>
        <v>-75000</v>
      </c>
      <c r="AZ62" s="207">
        <f t="shared" si="166"/>
        <v>0</v>
      </c>
      <c r="BA62" s="207">
        <f t="shared" si="166"/>
        <v>0</v>
      </c>
      <c r="BB62" s="207">
        <f t="shared" si="166"/>
        <v>-75000</v>
      </c>
      <c r="BC62" s="207">
        <f t="shared" si="166"/>
        <v>0</v>
      </c>
      <c r="BD62" s="207">
        <f t="shared" si="166"/>
        <v>0</v>
      </c>
      <c r="BE62" s="207">
        <f t="shared" si="166"/>
        <v>-75000</v>
      </c>
      <c r="BF62" s="207">
        <f t="shared" si="166"/>
        <v>0</v>
      </c>
      <c r="BG62" s="207">
        <f t="shared" si="166"/>
        <v>0</v>
      </c>
      <c r="BH62" s="207">
        <f t="shared" si="166"/>
        <v>-75000</v>
      </c>
      <c r="BI62" s="207">
        <f t="shared" si="166"/>
        <v>0</v>
      </c>
      <c r="BJ62" s="207">
        <f t="shared" si="166"/>
        <v>0</v>
      </c>
      <c r="BK62" s="207">
        <f t="shared" si="166"/>
        <v>-75000</v>
      </c>
      <c r="BL62" s="207">
        <f t="shared" si="166"/>
        <v>0</v>
      </c>
      <c r="BM62" s="207">
        <f t="shared" si="166"/>
        <v>0</v>
      </c>
      <c r="BN62" s="207">
        <f t="shared" si="166"/>
        <v>-75000</v>
      </c>
      <c r="BO62" s="207">
        <f t="shared" si="166"/>
        <v>0</v>
      </c>
      <c r="BP62" s="207">
        <f t="shared" si="166"/>
        <v>0</v>
      </c>
      <c r="BQ62" s="207">
        <f t="shared" si="166"/>
        <v>-75000</v>
      </c>
    </row>
    <row r="63" spans="1:69" x14ac:dyDescent="0.25">
      <c r="B63" s="208"/>
      <c r="C63" s="209"/>
      <c r="E63" s="209"/>
      <c r="F63" s="209"/>
      <c r="G63" s="210"/>
      <c r="H63" s="341" t="str">
        <f>"ITD "&amp;H62</f>
        <v>ITD Total Mgmt. Fee</v>
      </c>
      <c r="J63" s="211">
        <f>+J62</f>
        <v>0</v>
      </c>
      <c r="K63" s="211">
        <f t="shared" ref="K63:AP63" si="167">+K62+J63</f>
        <v>0</v>
      </c>
      <c r="L63" s="211">
        <f t="shared" si="167"/>
        <v>-75000</v>
      </c>
      <c r="M63" s="211">
        <f t="shared" si="167"/>
        <v>-75000</v>
      </c>
      <c r="N63" s="211">
        <f t="shared" si="167"/>
        <v>-75000</v>
      </c>
      <c r="O63" s="211">
        <f t="shared" si="167"/>
        <v>-150000</v>
      </c>
      <c r="P63" s="211">
        <f t="shared" si="167"/>
        <v>-150000</v>
      </c>
      <c r="Q63" s="211">
        <f t="shared" si="167"/>
        <v>-150000</v>
      </c>
      <c r="R63" s="211">
        <f t="shared" si="167"/>
        <v>-225000</v>
      </c>
      <c r="S63" s="211">
        <f t="shared" si="167"/>
        <v>-225000</v>
      </c>
      <c r="T63" s="211">
        <f t="shared" si="167"/>
        <v>-225000</v>
      </c>
      <c r="U63" s="211">
        <f t="shared" si="167"/>
        <v>-300000</v>
      </c>
      <c r="V63" s="211">
        <f t="shared" si="167"/>
        <v>-300000</v>
      </c>
      <c r="W63" s="211">
        <f t="shared" si="167"/>
        <v>-300000</v>
      </c>
      <c r="X63" s="211">
        <f t="shared" si="167"/>
        <v>-375000</v>
      </c>
      <c r="Y63" s="211">
        <f t="shared" si="167"/>
        <v>-375000</v>
      </c>
      <c r="Z63" s="211">
        <f t="shared" si="167"/>
        <v>-375000</v>
      </c>
      <c r="AA63" s="211">
        <f t="shared" si="167"/>
        <v>-450000</v>
      </c>
      <c r="AB63" s="211">
        <f t="shared" si="167"/>
        <v>-450000</v>
      </c>
      <c r="AC63" s="211">
        <f t="shared" si="167"/>
        <v>-450000</v>
      </c>
      <c r="AD63" s="211">
        <f t="shared" si="167"/>
        <v>-525000</v>
      </c>
      <c r="AE63" s="211">
        <f t="shared" si="167"/>
        <v>-525000</v>
      </c>
      <c r="AF63" s="211">
        <f t="shared" si="167"/>
        <v>-525000</v>
      </c>
      <c r="AG63" s="211">
        <f t="shared" si="167"/>
        <v>-600000</v>
      </c>
      <c r="AH63" s="211">
        <f t="shared" si="167"/>
        <v>-600000</v>
      </c>
      <c r="AI63" s="211">
        <f t="shared" si="167"/>
        <v>-600000</v>
      </c>
      <c r="AJ63" s="211">
        <f t="shared" si="167"/>
        <v>-675000</v>
      </c>
      <c r="AK63" s="211">
        <f t="shared" si="167"/>
        <v>-675000</v>
      </c>
      <c r="AL63" s="211">
        <f t="shared" si="167"/>
        <v>-675000</v>
      </c>
      <c r="AM63" s="211">
        <f t="shared" si="167"/>
        <v>-750000</v>
      </c>
      <c r="AN63" s="211">
        <f t="shared" si="167"/>
        <v>-750000</v>
      </c>
      <c r="AO63" s="211">
        <f t="shared" si="167"/>
        <v>-750000</v>
      </c>
      <c r="AP63" s="211">
        <f t="shared" si="167"/>
        <v>-825000</v>
      </c>
      <c r="AQ63" s="211">
        <f t="shared" ref="AQ63:BQ63" si="168">+AQ62+AP63</f>
        <v>-825000</v>
      </c>
      <c r="AR63" s="211">
        <f t="shared" si="168"/>
        <v>-825000</v>
      </c>
      <c r="AS63" s="211">
        <f t="shared" si="168"/>
        <v>-900000</v>
      </c>
      <c r="AT63" s="211">
        <f t="shared" si="168"/>
        <v>-900000</v>
      </c>
      <c r="AU63" s="211">
        <f t="shared" si="168"/>
        <v>-900000</v>
      </c>
      <c r="AV63" s="211">
        <f t="shared" si="168"/>
        <v>-975000</v>
      </c>
      <c r="AW63" s="211">
        <f t="shared" si="168"/>
        <v>-975000</v>
      </c>
      <c r="AX63" s="211">
        <f t="shared" si="168"/>
        <v>-975000</v>
      </c>
      <c r="AY63" s="211">
        <f t="shared" si="168"/>
        <v>-1050000</v>
      </c>
      <c r="AZ63" s="211">
        <f t="shared" si="168"/>
        <v>-1050000</v>
      </c>
      <c r="BA63" s="211">
        <f t="shared" si="168"/>
        <v>-1050000</v>
      </c>
      <c r="BB63" s="211">
        <f t="shared" si="168"/>
        <v>-1125000</v>
      </c>
      <c r="BC63" s="211">
        <f t="shared" si="168"/>
        <v>-1125000</v>
      </c>
      <c r="BD63" s="211">
        <f t="shared" si="168"/>
        <v>-1125000</v>
      </c>
      <c r="BE63" s="211">
        <f t="shared" si="168"/>
        <v>-1200000</v>
      </c>
      <c r="BF63" s="211">
        <f t="shared" si="168"/>
        <v>-1200000</v>
      </c>
      <c r="BG63" s="211">
        <f t="shared" si="168"/>
        <v>-1200000</v>
      </c>
      <c r="BH63" s="211">
        <f t="shared" si="168"/>
        <v>-1275000</v>
      </c>
      <c r="BI63" s="211">
        <f t="shared" si="168"/>
        <v>-1275000</v>
      </c>
      <c r="BJ63" s="211">
        <f t="shared" si="168"/>
        <v>-1275000</v>
      </c>
      <c r="BK63" s="211">
        <f t="shared" si="168"/>
        <v>-1350000</v>
      </c>
      <c r="BL63" s="211">
        <f t="shared" si="168"/>
        <v>-1350000</v>
      </c>
      <c r="BM63" s="211">
        <f t="shared" si="168"/>
        <v>-1350000</v>
      </c>
      <c r="BN63" s="211">
        <f t="shared" si="168"/>
        <v>-1425000</v>
      </c>
      <c r="BO63" s="211">
        <f t="shared" si="168"/>
        <v>-1425000</v>
      </c>
      <c r="BP63" s="211">
        <f t="shared" si="168"/>
        <v>-1425000</v>
      </c>
      <c r="BQ63" s="211">
        <f t="shared" si="168"/>
        <v>-1500000</v>
      </c>
    </row>
    <row r="65" spans="1:69" s="126" customFormat="1" ht="16.5" thickBot="1" x14ac:dyDescent="0.3">
      <c r="A65" s="104"/>
      <c r="B65" s="194" t="s">
        <v>249</v>
      </c>
      <c r="C65" s="232"/>
      <c r="D65" s="232"/>
      <c r="E65" s="232"/>
      <c r="F65" s="232"/>
      <c r="G65" s="232"/>
      <c r="H65" s="232"/>
      <c r="I65" s="244"/>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33"/>
      <c r="BF65" s="233"/>
      <c r="BG65" s="233"/>
      <c r="BH65" s="233"/>
      <c r="BI65" s="233"/>
      <c r="BJ65" s="233"/>
      <c r="BK65" s="233"/>
      <c r="BL65" s="233"/>
      <c r="BM65" s="233"/>
      <c r="BN65" s="233"/>
      <c r="BO65" s="233"/>
      <c r="BP65" s="233"/>
      <c r="BQ65" s="233"/>
    </row>
    <row r="66" spans="1:69" outlineLevel="1" x14ac:dyDescent="0.25">
      <c r="B66" s="212" t="s">
        <v>248</v>
      </c>
      <c r="C66" s="213" t="s">
        <v>200</v>
      </c>
      <c r="D66" s="213" t="s">
        <v>77</v>
      </c>
      <c r="E66" s="213" t="str">
        <f>+E58</f>
        <v>Description</v>
      </c>
      <c r="F66" s="213" t="str">
        <f>+F58</f>
        <v>Notes</v>
      </c>
      <c r="G66" s="213" t="s">
        <v>247</v>
      </c>
      <c r="H66" s="214" t="s">
        <v>246</v>
      </c>
      <c r="J66" s="262">
        <f t="shared" ref="J66:AO66" si="169">+J5</f>
        <v>45322</v>
      </c>
      <c r="K66" s="263">
        <f t="shared" si="169"/>
        <v>45351</v>
      </c>
      <c r="L66" s="263">
        <f t="shared" si="169"/>
        <v>45382</v>
      </c>
      <c r="M66" s="263">
        <f t="shared" si="169"/>
        <v>45412</v>
      </c>
      <c r="N66" s="263">
        <f t="shared" si="169"/>
        <v>45443</v>
      </c>
      <c r="O66" s="263">
        <f t="shared" si="169"/>
        <v>45473</v>
      </c>
      <c r="P66" s="263">
        <f t="shared" si="169"/>
        <v>45504</v>
      </c>
      <c r="Q66" s="263">
        <f t="shared" si="169"/>
        <v>45535</v>
      </c>
      <c r="R66" s="263">
        <f t="shared" si="169"/>
        <v>45565</v>
      </c>
      <c r="S66" s="263">
        <f t="shared" si="169"/>
        <v>45596</v>
      </c>
      <c r="T66" s="263">
        <f t="shared" si="169"/>
        <v>45626</v>
      </c>
      <c r="U66" s="263">
        <f t="shared" si="169"/>
        <v>45657</v>
      </c>
      <c r="V66" s="263">
        <f t="shared" si="169"/>
        <v>45688</v>
      </c>
      <c r="W66" s="263">
        <f t="shared" si="169"/>
        <v>45716</v>
      </c>
      <c r="X66" s="263">
        <f t="shared" si="169"/>
        <v>45747</v>
      </c>
      <c r="Y66" s="263">
        <f t="shared" si="169"/>
        <v>45777</v>
      </c>
      <c r="Z66" s="263">
        <f t="shared" si="169"/>
        <v>45808</v>
      </c>
      <c r="AA66" s="263">
        <f t="shared" si="169"/>
        <v>45838</v>
      </c>
      <c r="AB66" s="263">
        <f t="shared" si="169"/>
        <v>45869</v>
      </c>
      <c r="AC66" s="263">
        <f t="shared" si="169"/>
        <v>45900</v>
      </c>
      <c r="AD66" s="263">
        <f t="shared" si="169"/>
        <v>45930</v>
      </c>
      <c r="AE66" s="263">
        <f t="shared" si="169"/>
        <v>45961</v>
      </c>
      <c r="AF66" s="263">
        <f t="shared" si="169"/>
        <v>45991</v>
      </c>
      <c r="AG66" s="263">
        <f t="shared" si="169"/>
        <v>46022</v>
      </c>
      <c r="AH66" s="263">
        <f t="shared" si="169"/>
        <v>46053</v>
      </c>
      <c r="AI66" s="263">
        <f t="shared" si="169"/>
        <v>46081</v>
      </c>
      <c r="AJ66" s="263">
        <f t="shared" si="169"/>
        <v>46112</v>
      </c>
      <c r="AK66" s="263">
        <f t="shared" si="169"/>
        <v>46142</v>
      </c>
      <c r="AL66" s="263">
        <f t="shared" si="169"/>
        <v>46173</v>
      </c>
      <c r="AM66" s="263">
        <f t="shared" si="169"/>
        <v>46203</v>
      </c>
      <c r="AN66" s="263">
        <f t="shared" si="169"/>
        <v>46234</v>
      </c>
      <c r="AO66" s="263">
        <f t="shared" si="169"/>
        <v>46265</v>
      </c>
      <c r="AP66" s="263">
        <f t="shared" ref="AP66:BQ66" si="170">+AP5</f>
        <v>46295</v>
      </c>
      <c r="AQ66" s="263">
        <f t="shared" si="170"/>
        <v>46326</v>
      </c>
      <c r="AR66" s="263">
        <f t="shared" si="170"/>
        <v>46356</v>
      </c>
      <c r="AS66" s="263">
        <f t="shared" si="170"/>
        <v>46387</v>
      </c>
      <c r="AT66" s="263">
        <f t="shared" si="170"/>
        <v>46418</v>
      </c>
      <c r="AU66" s="263">
        <f t="shared" si="170"/>
        <v>46446</v>
      </c>
      <c r="AV66" s="263">
        <f t="shared" si="170"/>
        <v>46477</v>
      </c>
      <c r="AW66" s="263">
        <f t="shared" si="170"/>
        <v>46507</v>
      </c>
      <c r="AX66" s="263">
        <f t="shared" si="170"/>
        <v>46538</v>
      </c>
      <c r="AY66" s="263">
        <f t="shared" si="170"/>
        <v>46568</v>
      </c>
      <c r="AZ66" s="263">
        <f t="shared" si="170"/>
        <v>46599</v>
      </c>
      <c r="BA66" s="263">
        <f t="shared" si="170"/>
        <v>46630</v>
      </c>
      <c r="BB66" s="263">
        <f t="shared" si="170"/>
        <v>46660</v>
      </c>
      <c r="BC66" s="263">
        <f t="shared" si="170"/>
        <v>46691</v>
      </c>
      <c r="BD66" s="263">
        <f t="shared" si="170"/>
        <v>46721</v>
      </c>
      <c r="BE66" s="263">
        <f t="shared" si="170"/>
        <v>46752</v>
      </c>
      <c r="BF66" s="263">
        <f t="shared" si="170"/>
        <v>46783</v>
      </c>
      <c r="BG66" s="263">
        <f t="shared" si="170"/>
        <v>46812</v>
      </c>
      <c r="BH66" s="263">
        <f t="shared" si="170"/>
        <v>46843</v>
      </c>
      <c r="BI66" s="263">
        <f t="shared" si="170"/>
        <v>46873</v>
      </c>
      <c r="BJ66" s="263">
        <f t="shared" si="170"/>
        <v>46904</v>
      </c>
      <c r="BK66" s="263">
        <f t="shared" si="170"/>
        <v>46934</v>
      </c>
      <c r="BL66" s="263">
        <f t="shared" si="170"/>
        <v>46965</v>
      </c>
      <c r="BM66" s="263">
        <f t="shared" si="170"/>
        <v>46996</v>
      </c>
      <c r="BN66" s="263">
        <f t="shared" si="170"/>
        <v>47026</v>
      </c>
      <c r="BO66" s="263">
        <f t="shared" si="170"/>
        <v>47057</v>
      </c>
      <c r="BP66" s="263">
        <f t="shared" si="170"/>
        <v>47087</v>
      </c>
      <c r="BQ66" s="264">
        <f t="shared" si="170"/>
        <v>47118</v>
      </c>
    </row>
    <row r="67" spans="1:69" outlineLevel="1" x14ac:dyDescent="0.25">
      <c r="B67" s="215"/>
      <c r="C67" s="196"/>
      <c r="D67" s="196"/>
      <c r="E67" s="198"/>
      <c r="F67" s="198"/>
      <c r="G67" s="199"/>
      <c r="H67" s="216"/>
      <c r="I67" s="246">
        <f>SUM(J67:BQ67)</f>
        <v>0</v>
      </c>
      <c r="J67" s="265">
        <f t="shared" ref="J67:AO67" si="171">IF(AND(J$58&gt;=$G67,J$58&lt;=$H67),$C67,0)</f>
        <v>0</v>
      </c>
      <c r="K67" s="197">
        <f t="shared" si="171"/>
        <v>0</v>
      </c>
      <c r="L67" s="197">
        <f t="shared" si="171"/>
        <v>0</v>
      </c>
      <c r="M67" s="197">
        <f t="shared" si="171"/>
        <v>0</v>
      </c>
      <c r="N67" s="197">
        <f t="shared" si="171"/>
        <v>0</v>
      </c>
      <c r="O67" s="197">
        <f t="shared" si="171"/>
        <v>0</v>
      </c>
      <c r="P67" s="197">
        <f t="shared" si="171"/>
        <v>0</v>
      </c>
      <c r="Q67" s="197">
        <f t="shared" si="171"/>
        <v>0</v>
      </c>
      <c r="R67" s="197">
        <f t="shared" si="171"/>
        <v>0</v>
      </c>
      <c r="S67" s="197">
        <f t="shared" si="171"/>
        <v>0</v>
      </c>
      <c r="T67" s="197">
        <f t="shared" si="171"/>
        <v>0</v>
      </c>
      <c r="U67" s="197">
        <f t="shared" si="171"/>
        <v>0</v>
      </c>
      <c r="V67" s="197">
        <f t="shared" si="171"/>
        <v>0</v>
      </c>
      <c r="W67" s="197">
        <f t="shared" si="171"/>
        <v>0</v>
      </c>
      <c r="X67" s="197">
        <f t="shared" si="171"/>
        <v>0</v>
      </c>
      <c r="Y67" s="197">
        <f t="shared" si="171"/>
        <v>0</v>
      </c>
      <c r="Z67" s="197">
        <f t="shared" si="171"/>
        <v>0</v>
      </c>
      <c r="AA67" s="197">
        <f t="shared" si="171"/>
        <v>0</v>
      </c>
      <c r="AB67" s="197">
        <f t="shared" si="171"/>
        <v>0</v>
      </c>
      <c r="AC67" s="197">
        <f t="shared" si="171"/>
        <v>0</v>
      </c>
      <c r="AD67" s="197">
        <f t="shared" si="171"/>
        <v>0</v>
      </c>
      <c r="AE67" s="197">
        <f t="shared" si="171"/>
        <v>0</v>
      </c>
      <c r="AF67" s="197">
        <f t="shared" si="171"/>
        <v>0</v>
      </c>
      <c r="AG67" s="197">
        <f t="shared" si="171"/>
        <v>0</v>
      </c>
      <c r="AH67" s="197">
        <f t="shared" si="171"/>
        <v>0</v>
      </c>
      <c r="AI67" s="197">
        <f t="shared" si="171"/>
        <v>0</v>
      </c>
      <c r="AJ67" s="197">
        <f t="shared" si="171"/>
        <v>0</v>
      </c>
      <c r="AK67" s="197">
        <f t="shared" si="171"/>
        <v>0</v>
      </c>
      <c r="AL67" s="197">
        <f t="shared" si="171"/>
        <v>0</v>
      </c>
      <c r="AM67" s="197">
        <f t="shared" si="171"/>
        <v>0</v>
      </c>
      <c r="AN67" s="197">
        <f t="shared" si="171"/>
        <v>0</v>
      </c>
      <c r="AO67" s="197">
        <f t="shared" si="171"/>
        <v>0</v>
      </c>
      <c r="AP67" s="197">
        <f t="shared" ref="AP67:BQ67" si="172">IF(AND(AP$58&gt;=$G67,AP$58&lt;=$H67),$C67,0)</f>
        <v>0</v>
      </c>
      <c r="AQ67" s="197">
        <f t="shared" si="172"/>
        <v>0</v>
      </c>
      <c r="AR67" s="197">
        <f t="shared" si="172"/>
        <v>0</v>
      </c>
      <c r="AS67" s="197">
        <f t="shared" si="172"/>
        <v>0</v>
      </c>
      <c r="AT67" s="197">
        <f t="shared" si="172"/>
        <v>0</v>
      </c>
      <c r="AU67" s="197">
        <f t="shared" si="172"/>
        <v>0</v>
      </c>
      <c r="AV67" s="197">
        <f t="shared" si="172"/>
        <v>0</v>
      </c>
      <c r="AW67" s="197">
        <f t="shared" si="172"/>
        <v>0</v>
      </c>
      <c r="AX67" s="197">
        <f t="shared" si="172"/>
        <v>0</v>
      </c>
      <c r="AY67" s="197">
        <f t="shared" si="172"/>
        <v>0</v>
      </c>
      <c r="AZ67" s="197">
        <f t="shared" si="172"/>
        <v>0</v>
      </c>
      <c r="BA67" s="197">
        <f t="shared" si="172"/>
        <v>0</v>
      </c>
      <c r="BB67" s="197">
        <f t="shared" si="172"/>
        <v>0</v>
      </c>
      <c r="BC67" s="197">
        <f t="shared" si="172"/>
        <v>0</v>
      </c>
      <c r="BD67" s="197">
        <f t="shared" si="172"/>
        <v>0</v>
      </c>
      <c r="BE67" s="197">
        <f t="shared" si="172"/>
        <v>0</v>
      </c>
      <c r="BF67" s="197">
        <f t="shared" si="172"/>
        <v>0</v>
      </c>
      <c r="BG67" s="197">
        <f t="shared" si="172"/>
        <v>0</v>
      </c>
      <c r="BH67" s="197">
        <f t="shared" si="172"/>
        <v>0</v>
      </c>
      <c r="BI67" s="197">
        <f t="shared" si="172"/>
        <v>0</v>
      </c>
      <c r="BJ67" s="197">
        <f t="shared" si="172"/>
        <v>0</v>
      </c>
      <c r="BK67" s="197">
        <f t="shared" si="172"/>
        <v>0</v>
      </c>
      <c r="BL67" s="197">
        <f t="shared" si="172"/>
        <v>0</v>
      </c>
      <c r="BM67" s="197">
        <f t="shared" si="172"/>
        <v>0</v>
      </c>
      <c r="BN67" s="197">
        <f t="shared" si="172"/>
        <v>0</v>
      </c>
      <c r="BO67" s="197">
        <f t="shared" si="172"/>
        <v>0</v>
      </c>
      <c r="BP67" s="197">
        <f t="shared" si="172"/>
        <v>0</v>
      </c>
      <c r="BQ67" s="266">
        <f t="shared" si="172"/>
        <v>0</v>
      </c>
    </row>
    <row r="68" spans="1:69" outlineLevel="1" x14ac:dyDescent="0.25">
      <c r="B68" s="215"/>
      <c r="C68" s="196"/>
      <c r="D68" s="234"/>
      <c r="E68" s="200"/>
      <c r="F68" s="200"/>
      <c r="G68" s="199"/>
      <c r="H68" s="217"/>
      <c r="I68" s="246"/>
      <c r="J68" s="265"/>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c r="AP68" s="197"/>
      <c r="AQ68" s="197"/>
      <c r="AR68" s="197"/>
      <c r="AS68" s="197"/>
      <c r="AT68" s="197"/>
      <c r="AU68" s="197"/>
      <c r="AV68" s="197"/>
      <c r="AW68" s="197"/>
      <c r="AX68" s="197"/>
      <c r="AY68" s="197"/>
      <c r="AZ68" s="197"/>
      <c r="BA68" s="197"/>
      <c r="BB68" s="197"/>
      <c r="BC68" s="197"/>
      <c r="BD68" s="197"/>
      <c r="BE68" s="197"/>
      <c r="BF68" s="197"/>
      <c r="BG68" s="197"/>
      <c r="BH68" s="197"/>
      <c r="BI68" s="197"/>
      <c r="BJ68" s="197"/>
      <c r="BK68" s="197"/>
      <c r="BL68" s="197"/>
      <c r="BM68" s="197"/>
      <c r="BN68" s="197"/>
      <c r="BO68" s="197"/>
      <c r="BP68" s="197"/>
      <c r="BQ68" s="266"/>
    </row>
    <row r="69" spans="1:69" outlineLevel="1" x14ac:dyDescent="0.25">
      <c r="B69" s="215"/>
      <c r="C69" s="196"/>
      <c r="D69" s="196"/>
      <c r="E69" s="198"/>
      <c r="F69" s="198"/>
      <c r="G69" s="199"/>
      <c r="H69" s="216"/>
      <c r="I69" s="246"/>
      <c r="J69" s="265"/>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c r="AP69" s="197"/>
      <c r="AQ69" s="197"/>
      <c r="AR69" s="197"/>
      <c r="AS69" s="197"/>
      <c r="AT69" s="197"/>
      <c r="AU69" s="197"/>
      <c r="AV69" s="197"/>
      <c r="AW69" s="197"/>
      <c r="AX69" s="197"/>
      <c r="AY69" s="197"/>
      <c r="AZ69" s="197"/>
      <c r="BA69" s="197"/>
      <c r="BB69" s="197"/>
      <c r="BC69" s="197"/>
      <c r="BD69" s="197"/>
      <c r="BE69" s="197"/>
      <c r="BF69" s="197"/>
      <c r="BG69" s="197"/>
      <c r="BH69" s="197"/>
      <c r="BI69" s="197"/>
      <c r="BJ69" s="197"/>
      <c r="BK69" s="197"/>
      <c r="BL69" s="197"/>
      <c r="BM69" s="197"/>
      <c r="BN69" s="197"/>
      <c r="BO69" s="197"/>
      <c r="BP69" s="197"/>
      <c r="BQ69" s="266"/>
    </row>
    <row r="70" spans="1:69" ht="16.5" outlineLevel="1" thickBot="1" x14ac:dyDescent="0.3">
      <c r="B70" s="247"/>
      <c r="C70" s="248"/>
      <c r="D70" s="248"/>
      <c r="E70" s="223"/>
      <c r="F70" s="223"/>
      <c r="G70" s="250"/>
      <c r="H70" s="251"/>
      <c r="I70" s="246"/>
      <c r="J70" s="267"/>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49"/>
      <c r="AY70" s="249"/>
      <c r="AZ70" s="249"/>
      <c r="BA70" s="249"/>
      <c r="BB70" s="249"/>
      <c r="BC70" s="249"/>
      <c r="BD70" s="249"/>
      <c r="BE70" s="249"/>
      <c r="BF70" s="249"/>
      <c r="BG70" s="249"/>
      <c r="BH70" s="249"/>
      <c r="BI70" s="249"/>
      <c r="BJ70" s="249"/>
      <c r="BK70" s="249"/>
      <c r="BL70" s="249"/>
      <c r="BM70" s="249"/>
      <c r="BN70" s="249"/>
      <c r="BO70" s="249"/>
      <c r="BP70" s="249"/>
      <c r="BQ70" s="268"/>
    </row>
    <row r="71" spans="1:69" outlineLevel="1" x14ac:dyDescent="0.25"/>
    <row r="72" spans="1:69" ht="16.5" outlineLevel="1" thickBot="1" x14ac:dyDescent="0.3">
      <c r="E72" s="126"/>
      <c r="F72" s="126"/>
      <c r="G72" s="126"/>
      <c r="H72" s="342" t="str">
        <f>"Total"&amp;RIGHT(B65,LEN(B65)-2)</f>
        <v>Total Other Income and Costs</v>
      </c>
      <c r="I72" s="246"/>
      <c r="J72" s="207">
        <f t="shared" ref="J72:AO72" si="173">SUM(J67:J71)</f>
        <v>0</v>
      </c>
      <c r="K72" s="207">
        <f t="shared" si="173"/>
        <v>0</v>
      </c>
      <c r="L72" s="207">
        <f t="shared" si="173"/>
        <v>0</v>
      </c>
      <c r="M72" s="207">
        <f t="shared" si="173"/>
        <v>0</v>
      </c>
      <c r="N72" s="207">
        <f t="shared" si="173"/>
        <v>0</v>
      </c>
      <c r="O72" s="207">
        <f t="shared" si="173"/>
        <v>0</v>
      </c>
      <c r="P72" s="207">
        <f t="shared" si="173"/>
        <v>0</v>
      </c>
      <c r="Q72" s="207">
        <f t="shared" si="173"/>
        <v>0</v>
      </c>
      <c r="R72" s="207">
        <f t="shared" si="173"/>
        <v>0</v>
      </c>
      <c r="S72" s="207">
        <f t="shared" si="173"/>
        <v>0</v>
      </c>
      <c r="T72" s="207">
        <f t="shared" si="173"/>
        <v>0</v>
      </c>
      <c r="U72" s="207">
        <f t="shared" si="173"/>
        <v>0</v>
      </c>
      <c r="V72" s="207">
        <f t="shared" si="173"/>
        <v>0</v>
      </c>
      <c r="W72" s="207">
        <f t="shared" si="173"/>
        <v>0</v>
      </c>
      <c r="X72" s="207">
        <f t="shared" si="173"/>
        <v>0</v>
      </c>
      <c r="Y72" s="207">
        <f t="shared" si="173"/>
        <v>0</v>
      </c>
      <c r="Z72" s="207">
        <f t="shared" si="173"/>
        <v>0</v>
      </c>
      <c r="AA72" s="207">
        <f t="shared" si="173"/>
        <v>0</v>
      </c>
      <c r="AB72" s="207">
        <f t="shared" si="173"/>
        <v>0</v>
      </c>
      <c r="AC72" s="207">
        <f t="shared" si="173"/>
        <v>0</v>
      </c>
      <c r="AD72" s="207">
        <f t="shared" si="173"/>
        <v>0</v>
      </c>
      <c r="AE72" s="207">
        <f t="shared" si="173"/>
        <v>0</v>
      </c>
      <c r="AF72" s="207">
        <f t="shared" si="173"/>
        <v>0</v>
      </c>
      <c r="AG72" s="207">
        <f t="shared" si="173"/>
        <v>0</v>
      </c>
      <c r="AH72" s="207">
        <f t="shared" si="173"/>
        <v>0</v>
      </c>
      <c r="AI72" s="207">
        <f t="shared" si="173"/>
        <v>0</v>
      </c>
      <c r="AJ72" s="207">
        <f t="shared" si="173"/>
        <v>0</v>
      </c>
      <c r="AK72" s="207">
        <f t="shared" si="173"/>
        <v>0</v>
      </c>
      <c r="AL72" s="207">
        <f t="shared" si="173"/>
        <v>0</v>
      </c>
      <c r="AM72" s="207">
        <f t="shared" si="173"/>
        <v>0</v>
      </c>
      <c r="AN72" s="207">
        <f t="shared" si="173"/>
        <v>0</v>
      </c>
      <c r="AO72" s="207">
        <f t="shared" si="173"/>
        <v>0</v>
      </c>
      <c r="AP72" s="207">
        <f t="shared" ref="AP72:BQ72" si="174">SUM(AP67:AP71)</f>
        <v>0</v>
      </c>
      <c r="AQ72" s="207">
        <f t="shared" si="174"/>
        <v>0</v>
      </c>
      <c r="AR72" s="207">
        <f t="shared" si="174"/>
        <v>0</v>
      </c>
      <c r="AS72" s="207">
        <f t="shared" si="174"/>
        <v>0</v>
      </c>
      <c r="AT72" s="207">
        <f t="shared" si="174"/>
        <v>0</v>
      </c>
      <c r="AU72" s="207">
        <f t="shared" si="174"/>
        <v>0</v>
      </c>
      <c r="AV72" s="207">
        <f t="shared" si="174"/>
        <v>0</v>
      </c>
      <c r="AW72" s="207">
        <f t="shared" si="174"/>
        <v>0</v>
      </c>
      <c r="AX72" s="207">
        <f t="shared" si="174"/>
        <v>0</v>
      </c>
      <c r="AY72" s="207">
        <f t="shared" si="174"/>
        <v>0</v>
      </c>
      <c r="AZ72" s="207">
        <f t="shared" si="174"/>
        <v>0</v>
      </c>
      <c r="BA72" s="207">
        <f t="shared" si="174"/>
        <v>0</v>
      </c>
      <c r="BB72" s="207">
        <f t="shared" si="174"/>
        <v>0</v>
      </c>
      <c r="BC72" s="207">
        <f t="shared" si="174"/>
        <v>0</v>
      </c>
      <c r="BD72" s="207">
        <f t="shared" si="174"/>
        <v>0</v>
      </c>
      <c r="BE72" s="207">
        <f t="shared" si="174"/>
        <v>0</v>
      </c>
      <c r="BF72" s="207">
        <f t="shared" si="174"/>
        <v>0</v>
      </c>
      <c r="BG72" s="207">
        <f t="shared" si="174"/>
        <v>0</v>
      </c>
      <c r="BH72" s="207">
        <f t="shared" si="174"/>
        <v>0</v>
      </c>
      <c r="BI72" s="207">
        <f t="shared" si="174"/>
        <v>0</v>
      </c>
      <c r="BJ72" s="207">
        <f t="shared" si="174"/>
        <v>0</v>
      </c>
      <c r="BK72" s="207">
        <f t="shared" si="174"/>
        <v>0</v>
      </c>
      <c r="BL72" s="207">
        <f t="shared" si="174"/>
        <v>0</v>
      </c>
      <c r="BM72" s="207">
        <f t="shared" si="174"/>
        <v>0</v>
      </c>
      <c r="BN72" s="207">
        <f t="shared" si="174"/>
        <v>0</v>
      </c>
      <c r="BO72" s="207">
        <f t="shared" si="174"/>
        <v>0</v>
      </c>
      <c r="BP72" s="207">
        <f t="shared" si="174"/>
        <v>0</v>
      </c>
      <c r="BQ72" s="207">
        <f t="shared" si="174"/>
        <v>0</v>
      </c>
    </row>
    <row r="73" spans="1:69" outlineLevel="1" x14ac:dyDescent="0.25">
      <c r="B73" s="208"/>
      <c r="C73" s="209"/>
      <c r="E73" s="209"/>
      <c r="F73" s="209"/>
      <c r="G73" s="210"/>
      <c r="H73" s="341" t="str">
        <f>"ITD "&amp;H72</f>
        <v>ITD Total Other Income and Costs</v>
      </c>
      <c r="J73" s="211">
        <f>+J72</f>
        <v>0</v>
      </c>
      <c r="K73" s="211">
        <f t="shared" ref="K73:AP73" si="175">+K72+J73</f>
        <v>0</v>
      </c>
      <c r="L73" s="211">
        <f t="shared" si="175"/>
        <v>0</v>
      </c>
      <c r="M73" s="211">
        <f t="shared" si="175"/>
        <v>0</v>
      </c>
      <c r="N73" s="211">
        <f t="shared" si="175"/>
        <v>0</v>
      </c>
      <c r="O73" s="211">
        <f t="shared" si="175"/>
        <v>0</v>
      </c>
      <c r="P73" s="211">
        <f t="shared" si="175"/>
        <v>0</v>
      </c>
      <c r="Q73" s="211">
        <f t="shared" si="175"/>
        <v>0</v>
      </c>
      <c r="R73" s="211">
        <f t="shared" si="175"/>
        <v>0</v>
      </c>
      <c r="S73" s="211">
        <f t="shared" si="175"/>
        <v>0</v>
      </c>
      <c r="T73" s="211">
        <f t="shared" si="175"/>
        <v>0</v>
      </c>
      <c r="U73" s="211">
        <f t="shared" si="175"/>
        <v>0</v>
      </c>
      <c r="V73" s="211">
        <f t="shared" si="175"/>
        <v>0</v>
      </c>
      <c r="W73" s="211">
        <f t="shared" si="175"/>
        <v>0</v>
      </c>
      <c r="X73" s="211">
        <f t="shared" si="175"/>
        <v>0</v>
      </c>
      <c r="Y73" s="211">
        <f t="shared" si="175"/>
        <v>0</v>
      </c>
      <c r="Z73" s="211">
        <f t="shared" si="175"/>
        <v>0</v>
      </c>
      <c r="AA73" s="211">
        <f t="shared" si="175"/>
        <v>0</v>
      </c>
      <c r="AB73" s="211">
        <f t="shared" si="175"/>
        <v>0</v>
      </c>
      <c r="AC73" s="211">
        <f t="shared" si="175"/>
        <v>0</v>
      </c>
      <c r="AD73" s="211">
        <f t="shared" si="175"/>
        <v>0</v>
      </c>
      <c r="AE73" s="211">
        <f t="shared" si="175"/>
        <v>0</v>
      </c>
      <c r="AF73" s="211">
        <f t="shared" si="175"/>
        <v>0</v>
      </c>
      <c r="AG73" s="211">
        <f t="shared" si="175"/>
        <v>0</v>
      </c>
      <c r="AH73" s="211">
        <f t="shared" si="175"/>
        <v>0</v>
      </c>
      <c r="AI73" s="211">
        <f t="shared" si="175"/>
        <v>0</v>
      </c>
      <c r="AJ73" s="211">
        <f t="shared" si="175"/>
        <v>0</v>
      </c>
      <c r="AK73" s="211">
        <f t="shared" si="175"/>
        <v>0</v>
      </c>
      <c r="AL73" s="211">
        <f t="shared" si="175"/>
        <v>0</v>
      </c>
      <c r="AM73" s="211">
        <f t="shared" si="175"/>
        <v>0</v>
      </c>
      <c r="AN73" s="211">
        <f t="shared" si="175"/>
        <v>0</v>
      </c>
      <c r="AO73" s="211">
        <f t="shared" si="175"/>
        <v>0</v>
      </c>
      <c r="AP73" s="211">
        <f t="shared" si="175"/>
        <v>0</v>
      </c>
      <c r="AQ73" s="211">
        <f t="shared" ref="AQ73:BQ73" si="176">+AQ72+AP73</f>
        <v>0</v>
      </c>
      <c r="AR73" s="211">
        <f t="shared" si="176"/>
        <v>0</v>
      </c>
      <c r="AS73" s="211">
        <f t="shared" si="176"/>
        <v>0</v>
      </c>
      <c r="AT73" s="211">
        <f t="shared" si="176"/>
        <v>0</v>
      </c>
      <c r="AU73" s="211">
        <f t="shared" si="176"/>
        <v>0</v>
      </c>
      <c r="AV73" s="211">
        <f t="shared" si="176"/>
        <v>0</v>
      </c>
      <c r="AW73" s="211">
        <f t="shared" si="176"/>
        <v>0</v>
      </c>
      <c r="AX73" s="211">
        <f t="shared" si="176"/>
        <v>0</v>
      </c>
      <c r="AY73" s="211">
        <f t="shared" si="176"/>
        <v>0</v>
      </c>
      <c r="AZ73" s="211">
        <f t="shared" si="176"/>
        <v>0</v>
      </c>
      <c r="BA73" s="211">
        <f t="shared" si="176"/>
        <v>0</v>
      </c>
      <c r="BB73" s="211">
        <f t="shared" si="176"/>
        <v>0</v>
      </c>
      <c r="BC73" s="211">
        <f t="shared" si="176"/>
        <v>0</v>
      </c>
      <c r="BD73" s="211">
        <f t="shared" si="176"/>
        <v>0</v>
      </c>
      <c r="BE73" s="211">
        <f t="shared" si="176"/>
        <v>0</v>
      </c>
      <c r="BF73" s="211">
        <f t="shared" si="176"/>
        <v>0</v>
      </c>
      <c r="BG73" s="211">
        <f t="shared" si="176"/>
        <v>0</v>
      </c>
      <c r="BH73" s="211">
        <f t="shared" si="176"/>
        <v>0</v>
      </c>
      <c r="BI73" s="211">
        <f t="shared" si="176"/>
        <v>0</v>
      </c>
      <c r="BJ73" s="211">
        <f t="shared" si="176"/>
        <v>0</v>
      </c>
      <c r="BK73" s="211">
        <f t="shared" si="176"/>
        <v>0</v>
      </c>
      <c r="BL73" s="211">
        <f t="shared" si="176"/>
        <v>0</v>
      </c>
      <c r="BM73" s="211">
        <f t="shared" si="176"/>
        <v>0</v>
      </c>
      <c r="BN73" s="211">
        <f t="shared" si="176"/>
        <v>0</v>
      </c>
      <c r="BO73" s="211">
        <f t="shared" si="176"/>
        <v>0</v>
      </c>
      <c r="BP73" s="211">
        <f t="shared" si="176"/>
        <v>0</v>
      </c>
      <c r="BQ73" s="211">
        <f t="shared" si="176"/>
        <v>0</v>
      </c>
    </row>
    <row r="74" spans="1:69" outlineLevel="1" x14ac:dyDescent="0.25"/>
    <row r="75" spans="1:69" outlineLevel="1" x14ac:dyDescent="0.25"/>
    <row r="76" spans="1:69" s="126" customFormat="1" ht="16.5" thickBot="1" x14ac:dyDescent="0.3">
      <c r="A76" s="104"/>
      <c r="D76" s="126" t="s">
        <v>468</v>
      </c>
      <c r="G76" s="104"/>
      <c r="H76" s="104"/>
      <c r="I76" s="243"/>
      <c r="J76" s="238">
        <f>+J47+J36+J23+J62+J72+J12</f>
        <v>189083.33333333302</v>
      </c>
      <c r="K76" s="238">
        <f t="shared" ref="K76:BQ76" si="177">+K47+K36+K23+K62+K72+K12</f>
        <v>-67583.333333333343</v>
      </c>
      <c r="L76" s="238">
        <f t="shared" si="177"/>
        <v>-67583.333333333343</v>
      </c>
      <c r="M76" s="238">
        <f t="shared" si="177"/>
        <v>7416.6666666666642</v>
      </c>
      <c r="N76" s="238">
        <f t="shared" si="177"/>
        <v>407416.66666666605</v>
      </c>
      <c r="O76" s="238">
        <f t="shared" si="177"/>
        <v>74792.521181937889</v>
      </c>
      <c r="P76" s="238">
        <f t="shared" si="177"/>
        <v>141459.18784860455</v>
      </c>
      <c r="Q76" s="238">
        <f t="shared" si="177"/>
        <v>141459.18784860458</v>
      </c>
      <c r="R76" s="238">
        <f t="shared" si="177"/>
        <v>91459.187848604546</v>
      </c>
      <c r="S76" s="238">
        <f t="shared" si="177"/>
        <v>141459.18784860458</v>
      </c>
      <c r="T76" s="238">
        <f t="shared" si="177"/>
        <v>9341459.1878486052</v>
      </c>
      <c r="U76" s="238">
        <f t="shared" si="177"/>
        <v>-7268540.8121513948</v>
      </c>
      <c r="V76" s="238">
        <f t="shared" si="177"/>
        <v>81006.064256195037</v>
      </c>
      <c r="W76" s="238">
        <f t="shared" si="177"/>
        <v>81006.064256195037</v>
      </c>
      <c r="X76" s="238">
        <f t="shared" si="177"/>
        <v>31006.064256195023</v>
      </c>
      <c r="Y76" s="238">
        <f t="shared" si="177"/>
        <v>81006.064256195037</v>
      </c>
      <c r="Z76" s="238">
        <f t="shared" si="177"/>
        <v>81006.064256195037</v>
      </c>
      <c r="AA76" s="238">
        <f t="shared" si="177"/>
        <v>31006.064256195037</v>
      </c>
      <c r="AB76" s="238">
        <f t="shared" si="177"/>
        <v>81006.064256195037</v>
      </c>
      <c r="AC76" s="238">
        <f t="shared" si="177"/>
        <v>81006.064256195037</v>
      </c>
      <c r="AD76" s="238">
        <f t="shared" si="177"/>
        <v>31006.064256195037</v>
      </c>
      <c r="AE76" s="238">
        <f t="shared" si="177"/>
        <v>81006.064256195037</v>
      </c>
      <c r="AF76" s="238">
        <f t="shared" si="177"/>
        <v>81006.064256195037</v>
      </c>
      <c r="AG76" s="238">
        <f t="shared" si="177"/>
        <v>31006.064256195037</v>
      </c>
      <c r="AH76" s="238">
        <f t="shared" si="177"/>
        <v>81006.064256195037</v>
      </c>
      <c r="AI76" s="238">
        <f t="shared" si="177"/>
        <v>81006.064256195037</v>
      </c>
      <c r="AJ76" s="238">
        <f t="shared" si="177"/>
        <v>31006.064256195037</v>
      </c>
      <c r="AK76" s="238">
        <f t="shared" si="177"/>
        <v>81006.064256195037</v>
      </c>
      <c r="AL76" s="238">
        <f t="shared" si="177"/>
        <v>81006.064256195037</v>
      </c>
      <c r="AM76" s="238">
        <f t="shared" si="177"/>
        <v>31006.064256195037</v>
      </c>
      <c r="AN76" s="238">
        <f t="shared" si="177"/>
        <v>81006.064256195037</v>
      </c>
      <c r="AO76" s="238">
        <f t="shared" si="177"/>
        <v>81006.064256195037</v>
      </c>
      <c r="AP76" s="238">
        <f t="shared" si="177"/>
        <v>31006.064256195037</v>
      </c>
      <c r="AQ76" s="238">
        <f t="shared" si="177"/>
        <v>81006.064256195037</v>
      </c>
      <c r="AR76" s="238">
        <f t="shared" si="177"/>
        <v>81006.064256195037</v>
      </c>
      <c r="AS76" s="238">
        <f t="shared" si="177"/>
        <v>31006.064256195037</v>
      </c>
      <c r="AT76" s="238">
        <f t="shared" si="177"/>
        <v>81006.064256195037</v>
      </c>
      <c r="AU76" s="238">
        <f t="shared" si="177"/>
        <v>81006.064256195037</v>
      </c>
      <c r="AV76" s="238">
        <f t="shared" si="177"/>
        <v>31006.064256195037</v>
      </c>
      <c r="AW76" s="238">
        <f t="shared" si="177"/>
        <v>81006.064256195037</v>
      </c>
      <c r="AX76" s="238">
        <f t="shared" si="177"/>
        <v>12081006.064256195</v>
      </c>
      <c r="AY76" s="238">
        <f t="shared" si="177"/>
        <v>-31666.666666666672</v>
      </c>
      <c r="AZ76" s="238">
        <f t="shared" si="177"/>
        <v>18333.333333333332</v>
      </c>
      <c r="BA76" s="238">
        <f t="shared" si="177"/>
        <v>18333.333333333332</v>
      </c>
      <c r="BB76" s="238">
        <f t="shared" si="177"/>
        <v>-31666.666666666672</v>
      </c>
      <c r="BC76" s="238">
        <f t="shared" si="177"/>
        <v>18333.333333333332</v>
      </c>
      <c r="BD76" s="238">
        <f t="shared" si="177"/>
        <v>18333.333333333332</v>
      </c>
      <c r="BE76" s="238">
        <f t="shared" si="177"/>
        <v>-31666.666666666672</v>
      </c>
      <c r="BF76" s="238">
        <f t="shared" si="177"/>
        <v>18333.333333333332</v>
      </c>
      <c r="BG76" s="238">
        <f t="shared" si="177"/>
        <v>18333.333333333332</v>
      </c>
      <c r="BH76" s="238">
        <f t="shared" si="177"/>
        <v>-31666.666666666672</v>
      </c>
      <c r="BI76" s="238">
        <f t="shared" si="177"/>
        <v>18333.333333333332</v>
      </c>
      <c r="BJ76" s="238">
        <f t="shared" si="177"/>
        <v>18333.333333333332</v>
      </c>
      <c r="BK76" s="238">
        <f t="shared" si="177"/>
        <v>-31666.666666666672</v>
      </c>
      <c r="BL76" s="238">
        <f t="shared" si="177"/>
        <v>18333.333333333332</v>
      </c>
      <c r="BM76" s="238">
        <f t="shared" si="177"/>
        <v>18333.333333333332</v>
      </c>
      <c r="BN76" s="238">
        <f t="shared" si="177"/>
        <v>-31666.666666666672</v>
      </c>
      <c r="BO76" s="238">
        <f t="shared" si="177"/>
        <v>18333.333333333332</v>
      </c>
      <c r="BP76" s="238">
        <f t="shared" si="177"/>
        <v>18333.333333333332</v>
      </c>
      <c r="BQ76" s="238">
        <f t="shared" si="177"/>
        <v>1068333.3333333333</v>
      </c>
    </row>
    <row r="77" spans="1:69" s="307" customFormat="1" ht="16.5" thickTop="1" x14ac:dyDescent="0.25">
      <c r="I77" s="308"/>
      <c r="J77" s="336"/>
      <c r="K77" s="336"/>
      <c r="L77" s="336"/>
      <c r="M77" s="336"/>
      <c r="N77" s="336"/>
      <c r="O77" s="336"/>
      <c r="P77" s="336"/>
      <c r="Q77" s="336"/>
      <c r="R77" s="336"/>
      <c r="S77" s="336"/>
      <c r="T77" s="336"/>
      <c r="U77" s="336"/>
      <c r="V77" s="336"/>
      <c r="W77" s="336"/>
      <c r="X77" s="336"/>
      <c r="Y77" s="336"/>
      <c r="Z77" s="336"/>
      <c r="AA77" s="336"/>
      <c r="AB77" s="336"/>
      <c r="AC77" s="336"/>
      <c r="AD77" s="336"/>
      <c r="AE77" s="336"/>
      <c r="AF77" s="336"/>
      <c r="AG77" s="336"/>
      <c r="AH77" s="336"/>
      <c r="AI77" s="336"/>
      <c r="AJ77" s="336"/>
      <c r="AK77" s="336"/>
      <c r="AL77" s="336"/>
      <c r="AM77" s="336"/>
      <c r="AN77" s="336"/>
      <c r="AO77" s="336"/>
      <c r="AP77" s="336"/>
      <c r="AQ77" s="336"/>
      <c r="AR77" s="336"/>
      <c r="AS77" s="336"/>
      <c r="AT77" s="336"/>
      <c r="AU77" s="336"/>
      <c r="AV77" s="336"/>
      <c r="AW77" s="336"/>
      <c r="AX77" s="336"/>
      <c r="AY77" s="336"/>
      <c r="AZ77" s="336"/>
      <c r="BA77" s="336"/>
      <c r="BB77" s="336"/>
      <c r="BC77" s="336"/>
      <c r="BD77" s="336"/>
      <c r="BE77" s="336"/>
      <c r="BF77" s="336"/>
      <c r="BG77" s="336"/>
      <c r="BH77" s="336"/>
      <c r="BI77" s="336"/>
      <c r="BJ77" s="336"/>
      <c r="BK77" s="336"/>
      <c r="BL77" s="336"/>
      <c r="BM77" s="336"/>
      <c r="BN77" s="336"/>
      <c r="BO77" s="336"/>
      <c r="BP77" s="336"/>
      <c r="BQ77" s="336"/>
    </row>
    <row r="78" spans="1:69" s="337" customFormat="1" x14ac:dyDescent="0.25">
      <c r="D78" s="337" t="s">
        <v>245</v>
      </c>
      <c r="I78" s="308"/>
      <c r="U78" s="338">
        <f>SUM($J76:U76)</f>
        <v>3132297.6482735649</v>
      </c>
      <c r="AG78" s="338">
        <f>SUM(V76:AG76)</f>
        <v>772072.77107434021</v>
      </c>
      <c r="AS78" s="338">
        <f>SUM(AH76:AS76)</f>
        <v>772072.77107434021</v>
      </c>
      <c r="BE78" s="338">
        <f>SUM(AT76:BE76)</f>
        <v>12333363.654614313</v>
      </c>
      <c r="BQ78" s="338">
        <f>SUM(BF76:BQ76)</f>
        <v>1120000</v>
      </c>
    </row>
    <row r="79" spans="1:69" s="126" customFormat="1" x14ac:dyDescent="0.25">
      <c r="E79" s="240"/>
      <c r="I79" s="243"/>
    </row>
    <row r="83" spans="8:69" x14ac:dyDescent="0.25">
      <c r="H83" s="519" t="s">
        <v>407</v>
      </c>
    </row>
    <row r="84" spans="8:69" outlineLevel="1" x14ac:dyDescent="0.25">
      <c r="H84" s="519" t="s">
        <v>406</v>
      </c>
      <c r="J84" s="306">
        <f>_xlfn.IFNA(VLOOKUP(J$5,'E-Commerce Loan'!$D$16:$I$52,3,0),0)</f>
        <v>0</v>
      </c>
      <c r="K84" s="306">
        <f>_xlfn.IFNA(VLOOKUP(K$5,'E-Commerce Loan'!$D$16:$I$52,3,0),0)</f>
        <v>0</v>
      </c>
      <c r="L84" s="306">
        <f>_xlfn.IFNA(VLOOKUP(L$5,'E-Commerce Loan'!$D$16:$I$52,3,0),0)</f>
        <v>0</v>
      </c>
      <c r="M84" s="306">
        <f>_xlfn.IFNA(VLOOKUP(M$5,'E-Commerce Loan'!$D$16:$I$52,3,0),0)</f>
        <v>0</v>
      </c>
      <c r="N84" s="306">
        <f>_xlfn.IFNA(VLOOKUP(N$5,'E-Commerce Loan'!$D$16:$I$52,3,0),0)</f>
        <v>0</v>
      </c>
      <c r="O84" s="306">
        <f>_xlfn.IFNA(VLOOKUP(O$5,'E-Commerce Loan'!$D$16:$I$52,3,0),0)</f>
        <v>62672.730922861701</v>
      </c>
      <c r="P84" s="306">
        <f>_xlfn.IFNA(VLOOKUP(P$5,'E-Commerce Loan'!$D$16:$I$52,3,0),0)</f>
        <v>62672.730922861701</v>
      </c>
      <c r="Q84" s="306">
        <f>_xlfn.IFNA(VLOOKUP(Q$5,'E-Commerce Loan'!$D$16:$I$52,3,0),0)</f>
        <v>62672.730922861701</v>
      </c>
      <c r="R84" s="306">
        <f>_xlfn.IFNA(VLOOKUP(R$5,'E-Commerce Loan'!$D$16:$I$52,3,0),0)</f>
        <v>62672.730922861701</v>
      </c>
      <c r="S84" s="306">
        <f>_xlfn.IFNA(VLOOKUP(S$5,'E-Commerce Loan'!$D$16:$I$52,3,0),0)</f>
        <v>62672.730922861701</v>
      </c>
      <c r="T84" s="306">
        <f>_xlfn.IFNA(VLOOKUP(T$5,'E-Commerce Loan'!$D$16:$I$52,3,0),0)</f>
        <v>62672.730922861701</v>
      </c>
      <c r="U84" s="306">
        <f>_xlfn.IFNA(VLOOKUP(U$5,'E-Commerce Loan'!$D$16:$I$52,3,0),0)</f>
        <v>62672.730922861701</v>
      </c>
      <c r="V84" s="306">
        <f>_xlfn.IFNA(VLOOKUP(V$5,'E-Commerce Loan'!$D$16:$I$52,3,0),0)</f>
        <v>62672.730922861701</v>
      </c>
      <c r="W84" s="306">
        <f>_xlfn.IFNA(VLOOKUP(W$5,'E-Commerce Loan'!$D$16:$I$52,3,0),0)</f>
        <v>62672.730922861701</v>
      </c>
      <c r="X84" s="306">
        <f>_xlfn.IFNA(VLOOKUP(X$5,'E-Commerce Loan'!$D$16:$I$52,3,0),0)</f>
        <v>62672.730922861701</v>
      </c>
      <c r="Y84" s="306">
        <f>_xlfn.IFNA(VLOOKUP(Y$5,'E-Commerce Loan'!$D$16:$I$52,3,0),0)</f>
        <v>62672.730922861701</v>
      </c>
      <c r="Z84" s="306">
        <f>_xlfn.IFNA(VLOOKUP(Z$5,'E-Commerce Loan'!$D$16:$I$52,3,0),0)</f>
        <v>62672.730922861701</v>
      </c>
      <c r="AA84" s="306">
        <f>_xlfn.IFNA(VLOOKUP(AA$5,'E-Commerce Loan'!$D$16:$I$52,3,0),0)</f>
        <v>62672.730922861701</v>
      </c>
      <c r="AB84" s="306">
        <f>_xlfn.IFNA(VLOOKUP(AB$5,'E-Commerce Loan'!$D$16:$I$52,3,0),0)</f>
        <v>62672.730922861701</v>
      </c>
      <c r="AC84" s="306">
        <f>_xlfn.IFNA(VLOOKUP(AC$5,'E-Commerce Loan'!$D$16:$I$52,3,0),0)</f>
        <v>62672.730922861701</v>
      </c>
      <c r="AD84" s="306">
        <f>_xlfn.IFNA(VLOOKUP(AD$5,'E-Commerce Loan'!$D$16:$I$52,3,0),0)</f>
        <v>62672.730922861701</v>
      </c>
      <c r="AE84" s="306">
        <f>_xlfn.IFNA(VLOOKUP(AE$5,'E-Commerce Loan'!$D$16:$I$52,3,0),0)</f>
        <v>62672.730922861701</v>
      </c>
      <c r="AF84" s="306">
        <f>_xlfn.IFNA(VLOOKUP(AF$5,'E-Commerce Loan'!$D$16:$I$52,3,0),0)</f>
        <v>62672.730922861701</v>
      </c>
      <c r="AG84" s="306">
        <f>_xlfn.IFNA(VLOOKUP(AG$5,'E-Commerce Loan'!$D$16:$I$52,3,0),0)</f>
        <v>62672.730922861701</v>
      </c>
      <c r="AH84" s="306">
        <f>_xlfn.IFNA(VLOOKUP(AH$5,'E-Commerce Loan'!$D$16:$I$52,3,0),0)</f>
        <v>62672.730922861701</v>
      </c>
      <c r="AI84" s="306">
        <f>_xlfn.IFNA(VLOOKUP(AI$5,'E-Commerce Loan'!$D$16:$I$52,3,0),0)</f>
        <v>62672.730922861701</v>
      </c>
      <c r="AJ84" s="306">
        <f>_xlfn.IFNA(VLOOKUP(AJ$5,'E-Commerce Loan'!$D$16:$I$52,3,0),0)</f>
        <v>62672.730922861701</v>
      </c>
      <c r="AK84" s="306">
        <f>_xlfn.IFNA(VLOOKUP(AK$5,'E-Commerce Loan'!$D$16:$I$52,3,0),0)</f>
        <v>62672.730922861701</v>
      </c>
      <c r="AL84" s="306">
        <f>_xlfn.IFNA(VLOOKUP(AL$5,'E-Commerce Loan'!$D$16:$I$52,3,0),0)</f>
        <v>62672.730922861701</v>
      </c>
      <c r="AM84" s="306">
        <f>_xlfn.IFNA(VLOOKUP(AM$5,'E-Commerce Loan'!$D$16:$I$52,3,0),0)</f>
        <v>62672.730922861701</v>
      </c>
      <c r="AN84" s="306">
        <f>_xlfn.IFNA(VLOOKUP(AN$5,'E-Commerce Loan'!$D$16:$I$52,3,0),0)</f>
        <v>62672.730922861701</v>
      </c>
      <c r="AO84" s="306">
        <f>_xlfn.IFNA(VLOOKUP(AO$5,'E-Commerce Loan'!$D$16:$I$52,3,0),0)</f>
        <v>62672.730922861701</v>
      </c>
      <c r="AP84" s="306">
        <f>_xlfn.IFNA(VLOOKUP(AP$5,'E-Commerce Loan'!$D$16:$I$52,3,0),0)</f>
        <v>62672.730922861701</v>
      </c>
      <c r="AQ84" s="306">
        <f>_xlfn.IFNA(VLOOKUP(AQ$5,'E-Commerce Loan'!$D$16:$I$52,3,0),0)</f>
        <v>62672.730922861701</v>
      </c>
      <c r="AR84" s="306">
        <f>_xlfn.IFNA(VLOOKUP(AR$5,'E-Commerce Loan'!$D$16:$I$52,3,0),0)</f>
        <v>62672.730922861701</v>
      </c>
      <c r="AS84" s="306">
        <f>_xlfn.IFNA(VLOOKUP(AS$5,'E-Commerce Loan'!$D$16:$I$52,3,0),0)</f>
        <v>62672.730922861701</v>
      </c>
      <c r="AT84" s="306">
        <f>_xlfn.IFNA(VLOOKUP(AT$5,'E-Commerce Loan'!$D$16:$I$52,3,0),0)</f>
        <v>62672.730922861701</v>
      </c>
      <c r="AU84" s="306">
        <f>_xlfn.IFNA(VLOOKUP(AU$5,'E-Commerce Loan'!$D$16:$I$52,3,0),0)</f>
        <v>62672.730922861701</v>
      </c>
      <c r="AV84" s="306">
        <f>_xlfn.IFNA(VLOOKUP(AV$5,'E-Commerce Loan'!$D$16:$I$52,3,0),0)</f>
        <v>62672.730922861701</v>
      </c>
      <c r="AW84" s="306">
        <f>_xlfn.IFNA(VLOOKUP(AW$5,'E-Commerce Loan'!$D$16:$I$52,3,0),0)</f>
        <v>62672.730922861701</v>
      </c>
      <c r="AX84" s="306">
        <f>_xlfn.IFNA(VLOOKUP(AX$5,'E-Commerce Loan'!$D$16:$I$52,3,0),0)</f>
        <v>62672.730922861701</v>
      </c>
      <c r="AY84" s="306">
        <f>_xlfn.IFNA(VLOOKUP(AY$5,'E-Commerce Loan'!$D$16:$I$52,3,0),0)</f>
        <v>0</v>
      </c>
      <c r="AZ84" s="306">
        <f>_xlfn.IFNA(VLOOKUP(AZ$5,'E-Commerce Loan'!$D$16:$I$52,3,0),0)</f>
        <v>0</v>
      </c>
      <c r="BA84" s="306">
        <f>_xlfn.IFNA(VLOOKUP(BA$5,'E-Commerce Loan'!$D$16:$I$52,3,0),0)</f>
        <v>0</v>
      </c>
      <c r="BB84" s="306">
        <f>_xlfn.IFNA(VLOOKUP(BB$5,'E-Commerce Loan'!$D$16:$I$52,3,0),0)</f>
        <v>0</v>
      </c>
      <c r="BC84" s="306">
        <f>_xlfn.IFNA(VLOOKUP(BC$5,'E-Commerce Loan'!$D$16:$I$52,3,0),0)</f>
        <v>0</v>
      </c>
      <c r="BD84" s="306">
        <f>_xlfn.IFNA(VLOOKUP(BD$5,'E-Commerce Loan'!$D$16:$I$52,3,0),0)</f>
        <v>0</v>
      </c>
      <c r="BE84" s="306">
        <f>_xlfn.IFNA(VLOOKUP(BE$5,'E-Commerce Loan'!$D$16:$I$52,3,0),0)</f>
        <v>0</v>
      </c>
      <c r="BF84" s="306">
        <f>_xlfn.IFNA(VLOOKUP(BF$5,'E-Commerce Loan'!$D$16:$I$52,3,0),0)</f>
        <v>0</v>
      </c>
      <c r="BG84" s="306">
        <f>_xlfn.IFNA(VLOOKUP(BG$5,'E-Commerce Loan'!$D$16:$I$52,3,0),0)</f>
        <v>0</v>
      </c>
      <c r="BH84" s="306">
        <f>_xlfn.IFNA(VLOOKUP(BH$5,'E-Commerce Loan'!$D$16:$I$52,3,0),0)</f>
        <v>0</v>
      </c>
      <c r="BI84" s="306">
        <f>_xlfn.IFNA(VLOOKUP(BI$5,'E-Commerce Loan'!$D$16:$I$52,3,0),0)</f>
        <v>0</v>
      </c>
      <c r="BJ84" s="306">
        <f>_xlfn.IFNA(VLOOKUP(BJ$5,'E-Commerce Loan'!$D$16:$I$52,3,0),0)</f>
        <v>0</v>
      </c>
      <c r="BK84" s="306">
        <f>_xlfn.IFNA(VLOOKUP(BK$5,'E-Commerce Loan'!$D$16:$I$52,3,0),0)</f>
        <v>0</v>
      </c>
      <c r="BL84" s="306">
        <f>_xlfn.IFNA(VLOOKUP(BL$5,'E-Commerce Loan'!$D$16:$I$52,3,0),0)</f>
        <v>0</v>
      </c>
      <c r="BM84" s="306">
        <f>_xlfn.IFNA(VLOOKUP(BM$5,'E-Commerce Loan'!$D$16:$I$52,3,0),0)</f>
        <v>0</v>
      </c>
      <c r="BN84" s="306">
        <f>_xlfn.IFNA(VLOOKUP(BN$5,'E-Commerce Loan'!$D$16:$I$52,3,0),0)</f>
        <v>0</v>
      </c>
      <c r="BO84" s="306">
        <f>_xlfn.IFNA(VLOOKUP(BO$5,'E-Commerce Loan'!$D$16:$I$52,3,0),0)</f>
        <v>0</v>
      </c>
      <c r="BP84" s="306">
        <f>_xlfn.IFNA(VLOOKUP(BP$5,'E-Commerce Loan'!$D$16:$I$52,3,0),0)</f>
        <v>0</v>
      </c>
      <c r="BQ84" s="306">
        <f>_xlfn.IFNA(VLOOKUP(BQ$5,'E-Commerce Loan'!$D$16:$I$52,3,0),0)</f>
        <v>0</v>
      </c>
    </row>
    <row r="85" spans="8:69" outlineLevel="1" x14ac:dyDescent="0.25">
      <c r="H85" s="520" t="str">
        <f>+F45</f>
        <v>Apartment Complex Loan</v>
      </c>
      <c r="J85" s="241">
        <f>_xlfn.IFNA(VLOOKUP(J$5,'Apartment Complex Loan'!$D$16:$F$53,3,0),)</f>
        <v>0</v>
      </c>
      <c r="K85" s="241">
        <f>_xlfn.IFNA(VLOOKUP(K$5,'Apartment Complex Loan'!$D$16:$F$53,3,0),)</f>
        <v>0</v>
      </c>
      <c r="L85" s="241">
        <f>_xlfn.IFNA(VLOOKUP(L$5,'Apartment Complex Loan'!$D$16:$F$53,3,0),)</f>
        <v>0</v>
      </c>
      <c r="M85" s="241">
        <f>_xlfn.IFNA(VLOOKUP(M$5,'Apartment Complex Loan'!$D$16:$F$53,3,0),)</f>
        <v>0</v>
      </c>
      <c r="N85" s="241">
        <f>_xlfn.IFNA(VLOOKUP(N$5,'Apartment Complex Loan'!$D$16:$F$53,3,0),)</f>
        <v>0</v>
      </c>
      <c r="O85" s="241">
        <f>_xlfn.IFNA(VLOOKUP(O$5,'Apartment Complex Loan'!$D$16:$F$53,3,0),)</f>
        <v>71369.790259076195</v>
      </c>
      <c r="P85" s="241">
        <f>_xlfn.IFNA(VLOOKUP(P$5,'Apartment Complex Loan'!$D$16:$F$53,3,0),)</f>
        <v>71369.790259076195</v>
      </c>
      <c r="Q85" s="241">
        <f>_xlfn.IFNA(VLOOKUP(Q$5,'Apartment Complex Loan'!$D$16:$F$53,3,0),)</f>
        <v>71369.790259076195</v>
      </c>
      <c r="R85" s="241">
        <f>_xlfn.IFNA(VLOOKUP(R$5,'Apartment Complex Loan'!$D$16:$F$53,3,0),)</f>
        <v>71369.790259076195</v>
      </c>
      <c r="S85" s="241">
        <f>_xlfn.IFNA(VLOOKUP(S$5,'Apartment Complex Loan'!$D$16:$F$53,3,0),)</f>
        <v>71369.790259076195</v>
      </c>
      <c r="T85" s="241">
        <f>_xlfn.IFNA(VLOOKUP(T$5,'Apartment Complex Loan'!$D$16:$F$53,3,0),)</f>
        <v>71369.790259076195</v>
      </c>
      <c r="U85" s="241">
        <f>_xlfn.IFNA(VLOOKUP(U$5,'Apartment Complex Loan'!$D$16:$F$53,3,0),)</f>
        <v>71369.790259076195</v>
      </c>
      <c r="V85" s="241">
        <f>_xlfn.IFNA(VLOOKUP(V$5,'Apartment Complex Loan'!$D$16:$F$53,3,0),)</f>
        <v>0</v>
      </c>
      <c r="W85" s="241">
        <f>_xlfn.IFNA(VLOOKUP(W$5,'Apartment Complex Loan'!$D$16:$F$53,3,0),)</f>
        <v>0</v>
      </c>
      <c r="X85" s="241">
        <f>_xlfn.IFNA(VLOOKUP(X$5,'Apartment Complex Loan'!$D$16:$F$53,3,0),)</f>
        <v>0</v>
      </c>
      <c r="Y85" s="241">
        <f>_xlfn.IFNA(VLOOKUP(Y$5,'Apartment Complex Loan'!$D$16:$F$53,3,0),)</f>
        <v>0</v>
      </c>
      <c r="Z85" s="241">
        <f>_xlfn.IFNA(VLOOKUP(Z$5,'Apartment Complex Loan'!$D$16:$F$53,3,0),)</f>
        <v>0</v>
      </c>
      <c r="AA85" s="241">
        <f>_xlfn.IFNA(VLOOKUP(AA$5,'Apartment Complex Loan'!$D$16:$F$53,3,0),)</f>
        <v>0</v>
      </c>
      <c r="AB85" s="241">
        <f>_xlfn.IFNA(VLOOKUP(AB$5,'Apartment Complex Loan'!$D$16:$F$53,3,0),)</f>
        <v>0</v>
      </c>
      <c r="AC85" s="241">
        <f>_xlfn.IFNA(VLOOKUP(AC$5,'Apartment Complex Loan'!$D$16:$F$53,3,0),)</f>
        <v>0</v>
      </c>
      <c r="AD85" s="241">
        <f>_xlfn.IFNA(VLOOKUP(AD$5,'Apartment Complex Loan'!$D$16:$F$53,3,0),)</f>
        <v>0</v>
      </c>
      <c r="AE85" s="241">
        <f>_xlfn.IFNA(VLOOKUP(AE$5,'Apartment Complex Loan'!$D$16:$F$53,3,0),)</f>
        <v>0</v>
      </c>
      <c r="AF85" s="241">
        <f>_xlfn.IFNA(VLOOKUP(AF$5,'Apartment Complex Loan'!$D$16:$F$53,3,0),)</f>
        <v>0</v>
      </c>
      <c r="AG85" s="241">
        <f>_xlfn.IFNA(VLOOKUP(AG$5,'Apartment Complex Loan'!$D$16:$F$53,3,0),)</f>
        <v>0</v>
      </c>
      <c r="AH85" s="241">
        <f>_xlfn.IFNA(VLOOKUP(AH$5,'Apartment Complex Loan'!$D$16:$F$53,3,0),)</f>
        <v>0</v>
      </c>
      <c r="AI85" s="241">
        <f>_xlfn.IFNA(VLOOKUP(AI$5,'Apartment Complex Loan'!$D$16:$F$53,3,0),)</f>
        <v>0</v>
      </c>
      <c r="AJ85" s="241">
        <f>_xlfn.IFNA(VLOOKUP(AJ$5,'Apartment Complex Loan'!$D$16:$F$53,3,0),)</f>
        <v>0</v>
      </c>
      <c r="AK85" s="241">
        <f>_xlfn.IFNA(VLOOKUP(AK$5,'Apartment Complex Loan'!$D$16:$F$53,3,0),)</f>
        <v>0</v>
      </c>
      <c r="AL85" s="241">
        <f>_xlfn.IFNA(VLOOKUP(AL$5,'Apartment Complex Loan'!$D$16:$F$53,3,0),)</f>
        <v>0</v>
      </c>
      <c r="AM85" s="241">
        <f>_xlfn.IFNA(VLOOKUP(AM$5,'Apartment Complex Loan'!$D$16:$F$53,3,0),)</f>
        <v>0</v>
      </c>
      <c r="AN85" s="241">
        <f>_xlfn.IFNA(VLOOKUP(AN$5,'Apartment Complex Loan'!$D$16:$F$53,3,0),)</f>
        <v>0</v>
      </c>
      <c r="AO85" s="241">
        <f>_xlfn.IFNA(VLOOKUP(AO$5,'Apartment Complex Loan'!$D$16:$F$53,3,0),)</f>
        <v>0</v>
      </c>
      <c r="AP85" s="241">
        <f>_xlfn.IFNA(VLOOKUP(AP$5,'Apartment Complex Loan'!$D$16:$F$53,3,0),)</f>
        <v>0</v>
      </c>
      <c r="AQ85" s="241">
        <f>_xlfn.IFNA(VLOOKUP(AQ$5,'Apartment Complex Loan'!$D$16:$F$53,3,0),)</f>
        <v>0</v>
      </c>
      <c r="AR85" s="241">
        <f>_xlfn.IFNA(VLOOKUP(AR$5,'Apartment Complex Loan'!$D$16:$F$53,3,0),)</f>
        <v>0</v>
      </c>
      <c r="AS85" s="241">
        <f>_xlfn.IFNA(VLOOKUP(AS$5,'Apartment Complex Loan'!$D$16:$F$53,3,0),)</f>
        <v>0</v>
      </c>
      <c r="AT85" s="241">
        <f>_xlfn.IFNA(VLOOKUP(AT$5,'Apartment Complex Loan'!$D$16:$F$53,3,0),)</f>
        <v>0</v>
      </c>
      <c r="AU85" s="241">
        <f>_xlfn.IFNA(VLOOKUP(AU$5,'Apartment Complex Loan'!$D$16:$F$53,3,0),)</f>
        <v>0</v>
      </c>
      <c r="AV85" s="241">
        <f>_xlfn.IFNA(VLOOKUP(AV$5,'Apartment Complex Loan'!$D$16:$F$53,3,0),)</f>
        <v>0</v>
      </c>
      <c r="AW85" s="241">
        <f>_xlfn.IFNA(VLOOKUP(AW$5,'Apartment Complex Loan'!$D$16:$F$53,3,0),)</f>
        <v>0</v>
      </c>
      <c r="AX85" s="241">
        <f>_xlfn.IFNA(VLOOKUP(AX$5,'Apartment Complex Loan'!$D$16:$F$53,3,0),)</f>
        <v>0</v>
      </c>
      <c r="AY85" s="241">
        <f>_xlfn.IFNA(VLOOKUP(AY$5,'Apartment Complex Loan'!$D$16:$F$53,3,0),)</f>
        <v>0</v>
      </c>
      <c r="AZ85" s="241">
        <f>_xlfn.IFNA(VLOOKUP(AZ$5,'Apartment Complex Loan'!$D$16:$F$53,3,0),)</f>
        <v>0</v>
      </c>
      <c r="BA85" s="241">
        <f>_xlfn.IFNA(VLOOKUP(BA$5,'Apartment Complex Loan'!$D$16:$F$53,3,0),)</f>
        <v>0</v>
      </c>
      <c r="BB85" s="241">
        <f>_xlfn.IFNA(VLOOKUP(BB$5,'Apartment Complex Loan'!$D$16:$F$53,3,0),)</f>
        <v>0</v>
      </c>
      <c r="BC85" s="241">
        <f>_xlfn.IFNA(VLOOKUP(BC$5,'Apartment Complex Loan'!$D$16:$F$53,3,0),)</f>
        <v>0</v>
      </c>
      <c r="BD85" s="241">
        <f>_xlfn.IFNA(VLOOKUP(BD$5,'Apartment Complex Loan'!$D$16:$F$53,3,0),)</f>
        <v>0</v>
      </c>
      <c r="BE85" s="241">
        <f>_xlfn.IFNA(VLOOKUP(BE$5,'Apartment Complex Loan'!$D$16:$F$53,3,0),)</f>
        <v>0</v>
      </c>
      <c r="BF85" s="241">
        <f>_xlfn.IFNA(VLOOKUP(BF$5,'Apartment Complex Loan'!$D$16:$F$53,3,0),)</f>
        <v>0</v>
      </c>
      <c r="BG85" s="241">
        <f>_xlfn.IFNA(VLOOKUP(BG$5,'Apartment Complex Loan'!$D$16:$F$53,3,0),)</f>
        <v>0</v>
      </c>
      <c r="BH85" s="241">
        <f>_xlfn.IFNA(VLOOKUP(BH$5,'Apartment Complex Loan'!$D$16:$F$53,3,0),)</f>
        <v>0</v>
      </c>
      <c r="BI85" s="241">
        <f>_xlfn.IFNA(VLOOKUP(BI$5,'Apartment Complex Loan'!$D$16:$F$53,3,0),)</f>
        <v>0</v>
      </c>
      <c r="BJ85" s="241">
        <f>_xlfn.IFNA(VLOOKUP(BJ$5,'Apartment Complex Loan'!$D$16:$F$53,3,0),)</f>
        <v>0</v>
      </c>
      <c r="BK85" s="241">
        <f>_xlfn.IFNA(VLOOKUP(BK$5,'Apartment Complex Loan'!$D$16:$F$53,3,0),)</f>
        <v>0</v>
      </c>
      <c r="BL85" s="241">
        <f>_xlfn.IFNA(VLOOKUP(BL$5,'Apartment Complex Loan'!$D$16:$F$53,3,0),)</f>
        <v>0</v>
      </c>
      <c r="BM85" s="241">
        <f>_xlfn.IFNA(VLOOKUP(BM$5,'Apartment Complex Loan'!$D$16:$F$53,3,0),)</f>
        <v>0</v>
      </c>
      <c r="BN85" s="241">
        <f>_xlfn.IFNA(VLOOKUP(BN$5,'Apartment Complex Loan'!$D$16:$F$53,3,0),)</f>
        <v>0</v>
      </c>
      <c r="BO85" s="241">
        <f>_xlfn.IFNA(VLOOKUP(BO$5,'Apartment Complex Loan'!$D$16:$F$53,3,0),)</f>
        <v>0</v>
      </c>
      <c r="BP85" s="241">
        <f>_xlfn.IFNA(VLOOKUP(BP$5,'Apartment Complex Loan'!$D$16:$F$53,3,0),)</f>
        <v>0</v>
      </c>
      <c r="BQ85" s="241">
        <f>_xlfn.IFNA(VLOOKUP(BQ$5,'Apartment Complex Loan'!$D$16:$F$53,3,0),)</f>
        <v>0</v>
      </c>
    </row>
    <row r="86" spans="8:69" outlineLevel="1" x14ac:dyDescent="0.25">
      <c r="H86" s="519" t="s">
        <v>409</v>
      </c>
    </row>
    <row r="87" spans="8:69" outlineLevel="1" x14ac:dyDescent="0.25">
      <c r="H87" s="519" t="s">
        <v>406</v>
      </c>
      <c r="J87" s="239">
        <f>SUMIFS(J$5:J$82,$F$5:$F$82,$H87)</f>
        <v>0</v>
      </c>
      <c r="K87" s="239">
        <f t="shared" ref="K87:BQ88" si="178">SUMIFS(K$5:K$82,$F$5:$F$82,$H87)</f>
        <v>0</v>
      </c>
      <c r="L87" s="239">
        <f t="shared" si="178"/>
        <v>0</v>
      </c>
      <c r="M87" s="239">
        <f t="shared" si="178"/>
        <v>0</v>
      </c>
      <c r="N87" s="239">
        <f t="shared" si="178"/>
        <v>-2000000</v>
      </c>
      <c r="O87" s="239">
        <f t="shared" si="178"/>
        <v>62672.730922861701</v>
      </c>
      <c r="P87" s="239">
        <f t="shared" si="178"/>
        <v>62672.730922861701</v>
      </c>
      <c r="Q87" s="239">
        <f t="shared" si="178"/>
        <v>62672.730922861701</v>
      </c>
      <c r="R87" s="239">
        <f t="shared" si="178"/>
        <v>62672.730922861701</v>
      </c>
      <c r="S87" s="239">
        <f t="shared" si="178"/>
        <v>62672.730922861701</v>
      </c>
      <c r="T87" s="239">
        <f t="shared" si="178"/>
        <v>62672.730922861701</v>
      </c>
      <c r="U87" s="239">
        <f t="shared" si="178"/>
        <v>62672.730922861701</v>
      </c>
      <c r="V87" s="239">
        <f t="shared" si="178"/>
        <v>62672.730922861701</v>
      </c>
      <c r="W87" s="239">
        <f t="shared" si="178"/>
        <v>62672.730922861701</v>
      </c>
      <c r="X87" s="239">
        <f t="shared" si="178"/>
        <v>62672.730922861694</v>
      </c>
      <c r="Y87" s="239">
        <f t="shared" si="178"/>
        <v>62672.730922861701</v>
      </c>
      <c r="Z87" s="239">
        <f t="shared" si="178"/>
        <v>62672.730922861701</v>
      </c>
      <c r="AA87" s="239">
        <f t="shared" si="178"/>
        <v>62672.730922861701</v>
      </c>
      <c r="AB87" s="239">
        <f t="shared" si="178"/>
        <v>62672.730922861701</v>
      </c>
      <c r="AC87" s="239">
        <f t="shared" si="178"/>
        <v>62672.730922861701</v>
      </c>
      <c r="AD87" s="239">
        <f t="shared" si="178"/>
        <v>62672.730922861701</v>
      </c>
      <c r="AE87" s="239">
        <f t="shared" si="178"/>
        <v>62672.730922861709</v>
      </c>
      <c r="AF87" s="239">
        <f t="shared" si="178"/>
        <v>62672.730922861701</v>
      </c>
      <c r="AG87" s="239">
        <f t="shared" si="178"/>
        <v>62672.730922861701</v>
      </c>
      <c r="AH87" s="239">
        <f t="shared" si="178"/>
        <v>62672.730922861701</v>
      </c>
      <c r="AI87" s="239">
        <f t="shared" si="178"/>
        <v>62672.730922861709</v>
      </c>
      <c r="AJ87" s="239">
        <f t="shared" si="178"/>
        <v>62672.730922861701</v>
      </c>
      <c r="AK87" s="239">
        <f t="shared" si="178"/>
        <v>62672.730922861701</v>
      </c>
      <c r="AL87" s="239">
        <f t="shared" si="178"/>
        <v>62672.730922861701</v>
      </c>
      <c r="AM87" s="239">
        <f t="shared" si="178"/>
        <v>62672.730922861701</v>
      </c>
      <c r="AN87" s="239">
        <f t="shared" si="178"/>
        <v>62672.730922861701</v>
      </c>
      <c r="AO87" s="239">
        <f t="shared" si="178"/>
        <v>62672.730922861701</v>
      </c>
      <c r="AP87" s="239">
        <f t="shared" si="178"/>
        <v>62672.730922861701</v>
      </c>
      <c r="AQ87" s="239">
        <f t="shared" si="178"/>
        <v>62672.730922861701</v>
      </c>
      <c r="AR87" s="239">
        <f t="shared" si="178"/>
        <v>62672.730922861701</v>
      </c>
      <c r="AS87" s="239">
        <f t="shared" si="178"/>
        <v>62672.730922861701</v>
      </c>
      <c r="AT87" s="239">
        <f t="shared" si="178"/>
        <v>62672.730922861701</v>
      </c>
      <c r="AU87" s="239">
        <f t="shared" si="178"/>
        <v>62672.730922861701</v>
      </c>
      <c r="AV87" s="239">
        <f t="shared" si="178"/>
        <v>62672.730922861701</v>
      </c>
      <c r="AW87" s="239">
        <f t="shared" si="178"/>
        <v>62672.730922861701</v>
      </c>
      <c r="AX87" s="239">
        <f t="shared" si="178"/>
        <v>62672.730922861701</v>
      </c>
      <c r="AY87" s="239">
        <f t="shared" si="178"/>
        <v>0</v>
      </c>
      <c r="AZ87" s="239">
        <f t="shared" si="178"/>
        <v>0</v>
      </c>
      <c r="BA87" s="239">
        <f t="shared" si="178"/>
        <v>0</v>
      </c>
      <c r="BB87" s="239">
        <f t="shared" si="178"/>
        <v>0</v>
      </c>
      <c r="BC87" s="239">
        <f t="shared" si="178"/>
        <v>0</v>
      </c>
      <c r="BD87" s="239">
        <f t="shared" si="178"/>
        <v>0</v>
      </c>
      <c r="BE87" s="239">
        <f t="shared" si="178"/>
        <v>0</v>
      </c>
      <c r="BF87" s="239">
        <f t="shared" si="178"/>
        <v>0</v>
      </c>
      <c r="BG87" s="239">
        <f t="shared" si="178"/>
        <v>0</v>
      </c>
      <c r="BH87" s="239">
        <f t="shared" si="178"/>
        <v>0</v>
      </c>
      <c r="BI87" s="239">
        <f t="shared" si="178"/>
        <v>0</v>
      </c>
      <c r="BJ87" s="239">
        <f t="shared" si="178"/>
        <v>0</v>
      </c>
      <c r="BK87" s="239">
        <f t="shared" si="178"/>
        <v>0</v>
      </c>
      <c r="BL87" s="239">
        <f t="shared" si="178"/>
        <v>0</v>
      </c>
      <c r="BM87" s="239">
        <f t="shared" si="178"/>
        <v>0</v>
      </c>
      <c r="BN87" s="239">
        <f t="shared" si="178"/>
        <v>0</v>
      </c>
      <c r="BO87" s="239">
        <f t="shared" si="178"/>
        <v>0</v>
      </c>
      <c r="BP87" s="239">
        <f t="shared" si="178"/>
        <v>0</v>
      </c>
      <c r="BQ87" s="239">
        <f t="shared" si="178"/>
        <v>0</v>
      </c>
    </row>
    <row r="88" spans="8:69" outlineLevel="1" x14ac:dyDescent="0.25">
      <c r="H88" s="520" t="str">
        <f>+F45</f>
        <v>Apartment Complex Loan</v>
      </c>
      <c r="J88" s="239">
        <f>SUMIFS(J$5:J$82,$F$5:$F$82,$H88)</f>
        <v>0</v>
      </c>
      <c r="K88" s="239">
        <f t="shared" si="178"/>
        <v>0</v>
      </c>
      <c r="L88" s="239">
        <f t="shared" si="178"/>
        <v>0</v>
      </c>
      <c r="M88" s="239">
        <f t="shared" si="178"/>
        <v>0</v>
      </c>
      <c r="N88" s="239">
        <f t="shared" si="178"/>
        <v>-3000000</v>
      </c>
      <c r="O88" s="239">
        <f t="shared" si="178"/>
        <v>71369.790259076195</v>
      </c>
      <c r="P88" s="239">
        <f t="shared" si="178"/>
        <v>71369.790259076195</v>
      </c>
      <c r="Q88" s="239">
        <f t="shared" si="178"/>
        <v>71369.790259076195</v>
      </c>
      <c r="R88" s="239">
        <f t="shared" si="178"/>
        <v>71369.790259076195</v>
      </c>
      <c r="S88" s="239">
        <f t="shared" si="178"/>
        <v>71369.790259076195</v>
      </c>
      <c r="T88" s="239">
        <f t="shared" si="178"/>
        <v>71369.790259076195</v>
      </c>
      <c r="U88" s="239">
        <f t="shared" si="178"/>
        <v>2825202.8803319968</v>
      </c>
      <c r="V88" s="239">
        <f t="shared" si="178"/>
        <v>0</v>
      </c>
      <c r="W88" s="239">
        <f t="shared" si="178"/>
        <v>0</v>
      </c>
      <c r="X88" s="239">
        <f t="shared" si="178"/>
        <v>0</v>
      </c>
      <c r="Y88" s="239">
        <f t="shared" si="178"/>
        <v>0</v>
      </c>
      <c r="Z88" s="239">
        <f t="shared" si="178"/>
        <v>0</v>
      </c>
      <c r="AA88" s="239">
        <f t="shared" si="178"/>
        <v>0</v>
      </c>
      <c r="AB88" s="239">
        <f t="shared" si="178"/>
        <v>0</v>
      </c>
      <c r="AC88" s="239">
        <f t="shared" si="178"/>
        <v>0</v>
      </c>
      <c r="AD88" s="239">
        <f t="shared" si="178"/>
        <v>0</v>
      </c>
      <c r="AE88" s="239">
        <f t="shared" si="178"/>
        <v>0</v>
      </c>
      <c r="AF88" s="239">
        <f t="shared" si="178"/>
        <v>0</v>
      </c>
      <c r="AG88" s="239">
        <f t="shared" si="178"/>
        <v>0</v>
      </c>
      <c r="AH88" s="239">
        <f t="shared" si="178"/>
        <v>0</v>
      </c>
      <c r="AI88" s="239">
        <f t="shared" si="178"/>
        <v>0</v>
      </c>
      <c r="AJ88" s="239">
        <f t="shared" si="178"/>
        <v>0</v>
      </c>
      <c r="AK88" s="239">
        <f t="shared" si="178"/>
        <v>0</v>
      </c>
      <c r="AL88" s="239">
        <f t="shared" si="178"/>
        <v>0</v>
      </c>
      <c r="AM88" s="239">
        <f t="shared" si="178"/>
        <v>0</v>
      </c>
      <c r="AN88" s="239">
        <f t="shared" si="178"/>
        <v>0</v>
      </c>
      <c r="AO88" s="239">
        <f t="shared" si="178"/>
        <v>0</v>
      </c>
      <c r="AP88" s="239">
        <f t="shared" si="178"/>
        <v>0</v>
      </c>
      <c r="AQ88" s="239">
        <f t="shared" si="178"/>
        <v>0</v>
      </c>
      <c r="AR88" s="239">
        <f t="shared" si="178"/>
        <v>0</v>
      </c>
      <c r="AS88" s="239">
        <f t="shared" si="178"/>
        <v>0</v>
      </c>
      <c r="AT88" s="239">
        <f t="shared" si="178"/>
        <v>0</v>
      </c>
      <c r="AU88" s="239">
        <f t="shared" si="178"/>
        <v>0</v>
      </c>
      <c r="AV88" s="239">
        <f t="shared" si="178"/>
        <v>0</v>
      </c>
      <c r="AW88" s="239">
        <f t="shared" si="178"/>
        <v>0</v>
      </c>
      <c r="AX88" s="239">
        <f t="shared" si="178"/>
        <v>0</v>
      </c>
      <c r="AY88" s="239">
        <f t="shared" si="178"/>
        <v>0</v>
      </c>
      <c r="AZ88" s="239">
        <f t="shared" si="178"/>
        <v>0</v>
      </c>
      <c r="BA88" s="239">
        <f t="shared" si="178"/>
        <v>0</v>
      </c>
      <c r="BB88" s="239">
        <f t="shared" si="178"/>
        <v>0</v>
      </c>
      <c r="BC88" s="239">
        <f t="shared" si="178"/>
        <v>0</v>
      </c>
      <c r="BD88" s="239">
        <f t="shared" si="178"/>
        <v>0</v>
      </c>
      <c r="BE88" s="239">
        <f t="shared" si="178"/>
        <v>0</v>
      </c>
      <c r="BF88" s="239">
        <f t="shared" si="178"/>
        <v>0</v>
      </c>
      <c r="BG88" s="239">
        <f t="shared" si="178"/>
        <v>0</v>
      </c>
      <c r="BH88" s="239">
        <f t="shared" si="178"/>
        <v>0</v>
      </c>
      <c r="BI88" s="239">
        <f t="shared" si="178"/>
        <v>0</v>
      </c>
      <c r="BJ88" s="239">
        <f t="shared" si="178"/>
        <v>0</v>
      </c>
      <c r="BK88" s="239">
        <f t="shared" si="178"/>
        <v>0</v>
      </c>
      <c r="BL88" s="239">
        <f t="shared" si="178"/>
        <v>0</v>
      </c>
      <c r="BM88" s="239">
        <f t="shared" si="178"/>
        <v>0</v>
      </c>
      <c r="BN88" s="239">
        <f t="shared" si="178"/>
        <v>0</v>
      </c>
      <c r="BO88" s="239">
        <f t="shared" si="178"/>
        <v>0</v>
      </c>
      <c r="BP88" s="239">
        <f t="shared" si="178"/>
        <v>0</v>
      </c>
      <c r="BQ88" s="239">
        <f t="shared" si="178"/>
        <v>0</v>
      </c>
    </row>
    <row r="89" spans="8:69" s="307" customFormat="1" x14ac:dyDescent="0.25">
      <c r="H89" s="521" t="s">
        <v>408</v>
      </c>
      <c r="I89" s="308"/>
    </row>
    <row r="90" spans="8:69" s="307" customFormat="1" x14ac:dyDescent="0.25">
      <c r="H90" s="521" t="s">
        <v>406</v>
      </c>
      <c r="I90" s="308"/>
      <c r="O90" s="306">
        <f>+O87-O84</f>
        <v>0</v>
      </c>
      <c r="P90" s="306">
        <f t="shared" ref="P90:BQ90" si="179">+P87-P84</f>
        <v>0</v>
      </c>
      <c r="Q90" s="306">
        <f t="shared" si="179"/>
        <v>0</v>
      </c>
      <c r="R90" s="306">
        <f t="shared" si="179"/>
        <v>0</v>
      </c>
      <c r="S90" s="306">
        <f t="shared" si="179"/>
        <v>0</v>
      </c>
      <c r="T90" s="306">
        <f t="shared" si="179"/>
        <v>0</v>
      </c>
      <c r="U90" s="306">
        <f t="shared" si="179"/>
        <v>0</v>
      </c>
      <c r="V90" s="306">
        <f t="shared" si="179"/>
        <v>0</v>
      </c>
      <c r="W90" s="306">
        <f t="shared" si="179"/>
        <v>0</v>
      </c>
      <c r="X90" s="306">
        <f t="shared" si="179"/>
        <v>0</v>
      </c>
      <c r="Y90" s="306">
        <f t="shared" si="179"/>
        <v>0</v>
      </c>
      <c r="Z90" s="306">
        <f t="shared" si="179"/>
        <v>0</v>
      </c>
      <c r="AA90" s="306">
        <f t="shared" si="179"/>
        <v>0</v>
      </c>
      <c r="AB90" s="306">
        <f t="shared" si="179"/>
        <v>0</v>
      </c>
      <c r="AC90" s="306">
        <f t="shared" si="179"/>
        <v>0</v>
      </c>
      <c r="AD90" s="306">
        <f t="shared" si="179"/>
        <v>0</v>
      </c>
      <c r="AE90" s="306">
        <f t="shared" si="179"/>
        <v>0</v>
      </c>
      <c r="AF90" s="306">
        <f t="shared" si="179"/>
        <v>0</v>
      </c>
      <c r="AG90" s="306">
        <f t="shared" si="179"/>
        <v>0</v>
      </c>
      <c r="AH90" s="306">
        <f t="shared" si="179"/>
        <v>0</v>
      </c>
      <c r="AI90" s="306">
        <f t="shared" si="179"/>
        <v>0</v>
      </c>
      <c r="AJ90" s="306">
        <f t="shared" si="179"/>
        <v>0</v>
      </c>
      <c r="AK90" s="306">
        <f t="shared" si="179"/>
        <v>0</v>
      </c>
      <c r="AL90" s="306">
        <f t="shared" si="179"/>
        <v>0</v>
      </c>
      <c r="AM90" s="306">
        <f t="shared" si="179"/>
        <v>0</v>
      </c>
      <c r="AN90" s="306">
        <f t="shared" si="179"/>
        <v>0</v>
      </c>
      <c r="AO90" s="306">
        <f t="shared" si="179"/>
        <v>0</v>
      </c>
      <c r="AP90" s="306">
        <f t="shared" si="179"/>
        <v>0</v>
      </c>
      <c r="AQ90" s="306">
        <f t="shared" si="179"/>
        <v>0</v>
      </c>
      <c r="AR90" s="306">
        <f t="shared" si="179"/>
        <v>0</v>
      </c>
      <c r="AS90" s="306">
        <f t="shared" si="179"/>
        <v>0</v>
      </c>
      <c r="AT90" s="306">
        <f t="shared" si="179"/>
        <v>0</v>
      </c>
      <c r="AU90" s="306">
        <f t="shared" si="179"/>
        <v>0</v>
      </c>
      <c r="AV90" s="306">
        <f t="shared" si="179"/>
        <v>0</v>
      </c>
      <c r="AW90" s="306">
        <f t="shared" si="179"/>
        <v>0</v>
      </c>
      <c r="AX90" s="306">
        <f t="shared" si="179"/>
        <v>0</v>
      </c>
      <c r="AY90" s="306">
        <f t="shared" si="179"/>
        <v>0</v>
      </c>
      <c r="AZ90" s="306">
        <f t="shared" si="179"/>
        <v>0</v>
      </c>
      <c r="BA90" s="306">
        <f t="shared" si="179"/>
        <v>0</v>
      </c>
      <c r="BB90" s="306">
        <f t="shared" si="179"/>
        <v>0</v>
      </c>
      <c r="BC90" s="306">
        <f t="shared" si="179"/>
        <v>0</v>
      </c>
      <c r="BD90" s="306">
        <f t="shared" si="179"/>
        <v>0</v>
      </c>
      <c r="BE90" s="306">
        <f t="shared" si="179"/>
        <v>0</v>
      </c>
      <c r="BF90" s="306">
        <f t="shared" si="179"/>
        <v>0</v>
      </c>
      <c r="BG90" s="306">
        <f t="shared" si="179"/>
        <v>0</v>
      </c>
      <c r="BH90" s="306">
        <f t="shared" si="179"/>
        <v>0</v>
      </c>
      <c r="BI90" s="306">
        <f t="shared" si="179"/>
        <v>0</v>
      </c>
      <c r="BJ90" s="306">
        <f t="shared" si="179"/>
        <v>0</v>
      </c>
      <c r="BK90" s="306">
        <f t="shared" si="179"/>
        <v>0</v>
      </c>
      <c r="BL90" s="306">
        <f t="shared" si="179"/>
        <v>0</v>
      </c>
      <c r="BM90" s="306">
        <f t="shared" si="179"/>
        <v>0</v>
      </c>
      <c r="BN90" s="306">
        <f t="shared" si="179"/>
        <v>0</v>
      </c>
      <c r="BO90" s="306">
        <f t="shared" si="179"/>
        <v>0</v>
      </c>
      <c r="BP90" s="306">
        <f t="shared" si="179"/>
        <v>0</v>
      </c>
      <c r="BQ90" s="306">
        <f t="shared" si="179"/>
        <v>0</v>
      </c>
    </row>
    <row r="91" spans="8:69" s="307" customFormat="1" x14ac:dyDescent="0.25">
      <c r="H91" s="522" t="str">
        <f>+H88</f>
        <v>Apartment Complex Loan</v>
      </c>
      <c r="I91" s="308"/>
      <c r="O91" s="306">
        <f>+O88-O85</f>
        <v>0</v>
      </c>
      <c r="P91" s="306">
        <f t="shared" ref="P91:BQ91" si="180">+P88-P85</f>
        <v>0</v>
      </c>
      <c r="Q91" s="306">
        <f t="shared" si="180"/>
        <v>0</v>
      </c>
      <c r="R91" s="306">
        <f t="shared" si="180"/>
        <v>0</v>
      </c>
      <c r="S91" s="306">
        <f t="shared" si="180"/>
        <v>0</v>
      </c>
      <c r="T91" s="306">
        <f t="shared" si="180"/>
        <v>0</v>
      </c>
      <c r="U91" s="306">
        <f t="shared" si="180"/>
        <v>2753833.0900729205</v>
      </c>
      <c r="V91" s="306">
        <f t="shared" si="180"/>
        <v>0</v>
      </c>
      <c r="W91" s="306">
        <f t="shared" si="180"/>
        <v>0</v>
      </c>
      <c r="X91" s="306">
        <f t="shared" si="180"/>
        <v>0</v>
      </c>
      <c r="Y91" s="306">
        <f t="shared" si="180"/>
        <v>0</v>
      </c>
      <c r="Z91" s="306">
        <f t="shared" si="180"/>
        <v>0</v>
      </c>
      <c r="AA91" s="306">
        <f t="shared" si="180"/>
        <v>0</v>
      </c>
      <c r="AB91" s="306">
        <f t="shared" si="180"/>
        <v>0</v>
      </c>
      <c r="AC91" s="306">
        <f t="shared" si="180"/>
        <v>0</v>
      </c>
      <c r="AD91" s="306">
        <f t="shared" si="180"/>
        <v>0</v>
      </c>
      <c r="AE91" s="306">
        <f t="shared" si="180"/>
        <v>0</v>
      </c>
      <c r="AF91" s="306">
        <f t="shared" si="180"/>
        <v>0</v>
      </c>
      <c r="AG91" s="306">
        <f t="shared" si="180"/>
        <v>0</v>
      </c>
      <c r="AH91" s="306">
        <f t="shared" si="180"/>
        <v>0</v>
      </c>
      <c r="AI91" s="306">
        <f t="shared" si="180"/>
        <v>0</v>
      </c>
      <c r="AJ91" s="306">
        <f t="shared" si="180"/>
        <v>0</v>
      </c>
      <c r="AK91" s="306">
        <f t="shared" si="180"/>
        <v>0</v>
      </c>
      <c r="AL91" s="306">
        <f t="shared" si="180"/>
        <v>0</v>
      </c>
      <c r="AM91" s="306">
        <f t="shared" si="180"/>
        <v>0</v>
      </c>
      <c r="AN91" s="306">
        <f t="shared" si="180"/>
        <v>0</v>
      </c>
      <c r="AO91" s="306">
        <f t="shared" si="180"/>
        <v>0</v>
      </c>
      <c r="AP91" s="306">
        <f t="shared" si="180"/>
        <v>0</v>
      </c>
      <c r="AQ91" s="306">
        <f t="shared" si="180"/>
        <v>0</v>
      </c>
      <c r="AR91" s="306">
        <f t="shared" si="180"/>
        <v>0</v>
      </c>
      <c r="AS91" s="306">
        <f t="shared" si="180"/>
        <v>0</v>
      </c>
      <c r="AT91" s="306">
        <f t="shared" si="180"/>
        <v>0</v>
      </c>
      <c r="AU91" s="306">
        <f t="shared" si="180"/>
        <v>0</v>
      </c>
      <c r="AV91" s="306">
        <f t="shared" si="180"/>
        <v>0</v>
      </c>
      <c r="AW91" s="306">
        <f t="shared" si="180"/>
        <v>0</v>
      </c>
      <c r="AX91" s="306">
        <f t="shared" si="180"/>
        <v>0</v>
      </c>
      <c r="AY91" s="306">
        <f t="shared" si="180"/>
        <v>0</v>
      </c>
      <c r="AZ91" s="306">
        <f t="shared" si="180"/>
        <v>0</v>
      </c>
      <c r="BA91" s="306">
        <f t="shared" si="180"/>
        <v>0</v>
      </c>
      <c r="BB91" s="306">
        <f t="shared" si="180"/>
        <v>0</v>
      </c>
      <c r="BC91" s="306">
        <f t="shared" si="180"/>
        <v>0</v>
      </c>
      <c r="BD91" s="306">
        <f t="shared" si="180"/>
        <v>0</v>
      </c>
      <c r="BE91" s="306">
        <f t="shared" si="180"/>
        <v>0</v>
      </c>
      <c r="BF91" s="306">
        <f t="shared" si="180"/>
        <v>0</v>
      </c>
      <c r="BG91" s="306">
        <f t="shared" si="180"/>
        <v>0</v>
      </c>
      <c r="BH91" s="306">
        <f t="shared" si="180"/>
        <v>0</v>
      </c>
      <c r="BI91" s="306">
        <f t="shared" si="180"/>
        <v>0</v>
      </c>
      <c r="BJ91" s="306">
        <f t="shared" si="180"/>
        <v>0</v>
      </c>
      <c r="BK91" s="306">
        <f t="shared" si="180"/>
        <v>0</v>
      </c>
      <c r="BL91" s="306">
        <f t="shared" si="180"/>
        <v>0</v>
      </c>
      <c r="BM91" s="306">
        <f t="shared" si="180"/>
        <v>0</v>
      </c>
      <c r="BN91" s="306">
        <f t="shared" si="180"/>
        <v>0</v>
      </c>
      <c r="BO91" s="306">
        <f t="shared" si="180"/>
        <v>0</v>
      </c>
      <c r="BP91" s="306">
        <f t="shared" si="180"/>
        <v>0</v>
      </c>
      <c r="BQ91" s="306">
        <f t="shared" si="180"/>
        <v>0</v>
      </c>
    </row>
    <row r="92" spans="8:69" x14ac:dyDescent="0.25">
      <c r="U92" s="523">
        <f>+U91-'Apartment Complex Loan'!I23</f>
        <v>0</v>
      </c>
      <c r="V92" s="307" t="s">
        <v>410</v>
      </c>
    </row>
  </sheetData>
  <autoFilter ref="B5:BQ76" xr:uid="{58095CA1-F400-4045-995E-6BFAE43D251F}"/>
  <conditionalFormatting sqref="B1:B1048576">
    <cfRule type="duplicateValues" dxfId="9" priority="1"/>
  </conditionalFormatting>
  <conditionalFormatting sqref="B17:B21">
    <cfRule type="duplicateValues" dxfId="8" priority="3"/>
  </conditionalFormatting>
  <conditionalFormatting sqref="B41:B45">
    <cfRule type="duplicateValues" dxfId="7" priority="2"/>
  </conditionalFormatting>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032AC-980D-4B5D-B8C3-F318BB961BE7}">
  <sheetPr>
    <tabColor theme="8" tint="0.79998168889431442"/>
  </sheetPr>
  <dimension ref="B1:K52"/>
  <sheetViews>
    <sheetView showGridLines="0" zoomScale="90" zoomScaleNormal="90" workbookViewId="0">
      <pane xSplit="4" ySplit="16" topLeftCell="E38" activePane="bottomRight" state="frozen"/>
      <selection sqref="A1:XFD1048576"/>
      <selection pane="topRight" sqref="A1:XFD1048576"/>
      <selection pane="bottomLeft" sqref="A1:XFD1048576"/>
      <selection pane="bottomRight" activeCell="H6" sqref="H6"/>
    </sheetView>
  </sheetViews>
  <sheetFormatPr defaultRowHeight="15.75" outlineLevelRow="1" x14ac:dyDescent="0.25"/>
  <cols>
    <col min="1" max="1" width="9.140625" style="10"/>
    <col min="2" max="2" width="20.28515625" style="10" bestFit="1" customWidth="1"/>
    <col min="3" max="3" width="13.85546875" style="10" bestFit="1" customWidth="1"/>
    <col min="4" max="4" width="13.5703125" style="10" customWidth="1"/>
    <col min="5" max="6" width="18.85546875" style="10" bestFit="1" customWidth="1"/>
    <col min="7" max="7" width="14.5703125" style="10" bestFit="1" customWidth="1"/>
    <col min="8" max="8" width="15.5703125" style="10" bestFit="1" customWidth="1"/>
    <col min="9" max="9" width="17.5703125" style="10" bestFit="1" customWidth="1"/>
    <col min="10" max="16384" width="9.140625" style="10"/>
  </cols>
  <sheetData>
    <row r="1" spans="2:11" x14ac:dyDescent="0.25">
      <c r="F1" s="51" t="s">
        <v>717</v>
      </c>
    </row>
    <row r="2" spans="2:11" x14ac:dyDescent="0.25">
      <c r="F2" s="51" t="str">
        <f>+'Business Plan'!C58</f>
        <v>E-commerce</v>
      </c>
    </row>
    <row r="3" spans="2:11" x14ac:dyDescent="0.25">
      <c r="F3" s="51" t="s">
        <v>298</v>
      </c>
    </row>
    <row r="5" spans="2:11" x14ac:dyDescent="0.25">
      <c r="F5" s="10" t="s">
        <v>297</v>
      </c>
    </row>
    <row r="6" spans="2:11" x14ac:dyDescent="0.25">
      <c r="B6" s="11" t="s">
        <v>296</v>
      </c>
      <c r="F6" s="109">
        <f>+'Business Plan'!D63</f>
        <v>2000000</v>
      </c>
    </row>
    <row r="7" spans="2:11" x14ac:dyDescent="0.25">
      <c r="B7" s="11" t="s">
        <v>295</v>
      </c>
      <c r="F7" s="110">
        <f>+'Business Plan'!D65</f>
        <v>0.08</v>
      </c>
    </row>
    <row r="8" spans="2:11" x14ac:dyDescent="0.25">
      <c r="B8" s="11" t="s">
        <v>294</v>
      </c>
      <c r="F8" s="111">
        <f>+'Business Plan'!D66</f>
        <v>3</v>
      </c>
    </row>
    <row r="9" spans="2:11" x14ac:dyDescent="0.25">
      <c r="B9" s="11" t="s">
        <v>293</v>
      </c>
      <c r="F9" s="112">
        <f>EOMONTH('Business Plan'!D67,0)+1</f>
        <v>45444</v>
      </c>
    </row>
    <row r="10" spans="2:11" x14ac:dyDescent="0.25">
      <c r="B10" s="11" t="s">
        <v>571</v>
      </c>
      <c r="F10" s="112">
        <f>EOMONTH(F9,F8*12-1)</f>
        <v>46538</v>
      </c>
    </row>
    <row r="11" spans="2:11" x14ac:dyDescent="0.25">
      <c r="B11" s="11"/>
    </row>
    <row r="12" spans="2:11" x14ac:dyDescent="0.25">
      <c r="B12" s="11" t="s">
        <v>292</v>
      </c>
      <c r="F12" s="113">
        <f>-PMT(F7/12,F13,F6,0)</f>
        <v>62672.730922861701</v>
      </c>
    </row>
    <row r="13" spans="2:11" x14ac:dyDescent="0.25">
      <c r="B13" s="11" t="s">
        <v>291</v>
      </c>
      <c r="F13" s="114">
        <f>+F8*12</f>
        <v>36</v>
      </c>
    </row>
    <row r="14" spans="2:11" x14ac:dyDescent="0.25">
      <c r="B14" s="11" t="s">
        <v>290</v>
      </c>
      <c r="F14" s="115">
        <f>+SUM(G17:G52)</f>
        <v>256218.31322302108</v>
      </c>
    </row>
    <row r="15" spans="2:11" x14ac:dyDescent="0.25">
      <c r="B15" s="11" t="s">
        <v>289</v>
      </c>
      <c r="F15" s="115">
        <f>+F6+F14</f>
        <v>2256218.3132230211</v>
      </c>
    </row>
    <row r="16" spans="2:11" s="11" customFormat="1" ht="28.5" customHeight="1" x14ac:dyDescent="0.25">
      <c r="B16" s="116" t="s">
        <v>288</v>
      </c>
      <c r="C16" s="116" t="s">
        <v>287</v>
      </c>
      <c r="D16" s="116" t="s">
        <v>286</v>
      </c>
      <c r="E16" s="116" t="s">
        <v>285</v>
      </c>
      <c r="F16" s="116" t="s">
        <v>284</v>
      </c>
      <c r="G16" s="116" t="s">
        <v>283</v>
      </c>
      <c r="H16" s="116" t="s">
        <v>282</v>
      </c>
      <c r="I16" s="116" t="s">
        <v>281</v>
      </c>
      <c r="J16" s="116"/>
      <c r="K16" s="116"/>
    </row>
    <row r="17" spans="2:10" x14ac:dyDescent="0.25">
      <c r="B17" s="10">
        <v>1</v>
      </c>
      <c r="C17" s="52">
        <f>EDATE($F$9,0)</f>
        <v>45444</v>
      </c>
      <c r="D17" s="52">
        <f t="shared" ref="D17:D48" si="0">EOMONTH(C17,0)</f>
        <v>45473</v>
      </c>
      <c r="E17" s="71">
        <f>+$F$6</f>
        <v>2000000</v>
      </c>
      <c r="F17" s="71">
        <f>+F12</f>
        <v>62672.730922861701</v>
      </c>
      <c r="G17" s="71">
        <f t="shared" ref="G17:G48" si="1">+E17*$F$7/12</f>
        <v>13333.333333333334</v>
      </c>
      <c r="H17" s="71">
        <f t="shared" ref="H17:H48" si="2">+F17-G17</f>
        <v>49339.397589528366</v>
      </c>
      <c r="I17" s="64">
        <f t="shared" ref="I17:I48" si="3">+E17-H17</f>
        <v>1950660.6024104715</v>
      </c>
      <c r="J17" s="11"/>
    </row>
    <row r="18" spans="2:10" x14ac:dyDescent="0.25">
      <c r="B18" s="10">
        <f t="shared" ref="B18:B49" si="4">+B17+1</f>
        <v>2</v>
      </c>
      <c r="C18" s="52">
        <f t="shared" ref="C18:C49" si="5">EDATE(C17,1)</f>
        <v>45474</v>
      </c>
      <c r="D18" s="52">
        <f t="shared" si="0"/>
        <v>45504</v>
      </c>
      <c r="E18" s="71">
        <f t="shared" ref="E18:E49" si="6">+I17</f>
        <v>1950660.6024104715</v>
      </c>
      <c r="F18" s="71">
        <f t="shared" ref="F18:F49" si="7">+F17</f>
        <v>62672.730922861701</v>
      </c>
      <c r="G18" s="71">
        <f t="shared" si="1"/>
        <v>13004.404016069811</v>
      </c>
      <c r="H18" s="71">
        <f t="shared" si="2"/>
        <v>49668.326906791888</v>
      </c>
      <c r="I18" s="64">
        <f t="shared" si="3"/>
        <v>1900992.2755036796</v>
      </c>
    </row>
    <row r="19" spans="2:10" x14ac:dyDescent="0.25">
      <c r="B19" s="10">
        <f t="shared" si="4"/>
        <v>3</v>
      </c>
      <c r="C19" s="52">
        <f t="shared" si="5"/>
        <v>45505</v>
      </c>
      <c r="D19" s="52">
        <f t="shared" si="0"/>
        <v>45535</v>
      </c>
      <c r="E19" s="71">
        <f t="shared" si="6"/>
        <v>1900992.2755036796</v>
      </c>
      <c r="F19" s="71">
        <f t="shared" si="7"/>
        <v>62672.730922861701</v>
      </c>
      <c r="G19" s="71">
        <f t="shared" si="1"/>
        <v>12673.281836691198</v>
      </c>
      <c r="H19" s="71">
        <f t="shared" si="2"/>
        <v>49999.449086170505</v>
      </c>
      <c r="I19" s="64">
        <f t="shared" si="3"/>
        <v>1850992.8264175092</v>
      </c>
    </row>
    <row r="20" spans="2:10" x14ac:dyDescent="0.25">
      <c r="B20" s="10">
        <f t="shared" si="4"/>
        <v>4</v>
      </c>
      <c r="C20" s="52">
        <f t="shared" si="5"/>
        <v>45536</v>
      </c>
      <c r="D20" s="52">
        <f t="shared" si="0"/>
        <v>45565</v>
      </c>
      <c r="E20" s="71">
        <f t="shared" si="6"/>
        <v>1850992.8264175092</v>
      </c>
      <c r="F20" s="71">
        <f t="shared" si="7"/>
        <v>62672.730922861701</v>
      </c>
      <c r="G20" s="71">
        <f t="shared" si="1"/>
        <v>12339.952176116729</v>
      </c>
      <c r="H20" s="71">
        <f t="shared" si="2"/>
        <v>50332.778746744974</v>
      </c>
      <c r="I20" s="64">
        <f t="shared" si="3"/>
        <v>1800660.0476707642</v>
      </c>
    </row>
    <row r="21" spans="2:10" x14ac:dyDescent="0.25">
      <c r="B21" s="10">
        <f t="shared" si="4"/>
        <v>5</v>
      </c>
      <c r="C21" s="52">
        <f t="shared" si="5"/>
        <v>45566</v>
      </c>
      <c r="D21" s="52">
        <f t="shared" si="0"/>
        <v>45596</v>
      </c>
      <c r="E21" s="71">
        <f t="shared" si="6"/>
        <v>1800660.0476707642</v>
      </c>
      <c r="F21" s="71">
        <f t="shared" si="7"/>
        <v>62672.730922861701</v>
      </c>
      <c r="G21" s="71">
        <f t="shared" si="1"/>
        <v>12004.400317805093</v>
      </c>
      <c r="H21" s="71">
        <f t="shared" si="2"/>
        <v>50668.33060505661</v>
      </c>
      <c r="I21" s="64">
        <f t="shared" si="3"/>
        <v>1749991.7170657075</v>
      </c>
    </row>
    <row r="22" spans="2:10" x14ac:dyDescent="0.25">
      <c r="B22" s="10">
        <f t="shared" si="4"/>
        <v>6</v>
      </c>
      <c r="C22" s="52">
        <f t="shared" si="5"/>
        <v>45597</v>
      </c>
      <c r="D22" s="52">
        <f t="shared" si="0"/>
        <v>45626</v>
      </c>
      <c r="E22" s="71">
        <f t="shared" si="6"/>
        <v>1749991.7170657075</v>
      </c>
      <c r="F22" s="71">
        <f t="shared" si="7"/>
        <v>62672.730922861701</v>
      </c>
      <c r="G22" s="71">
        <f t="shared" si="1"/>
        <v>11666.611447104717</v>
      </c>
      <c r="H22" s="71">
        <f t="shared" si="2"/>
        <v>51006.119475756983</v>
      </c>
      <c r="I22" s="64">
        <f t="shared" si="3"/>
        <v>1698985.5975899505</v>
      </c>
    </row>
    <row r="23" spans="2:10" x14ac:dyDescent="0.25">
      <c r="B23" s="10">
        <f t="shared" si="4"/>
        <v>7</v>
      </c>
      <c r="C23" s="52">
        <f t="shared" si="5"/>
        <v>45627</v>
      </c>
      <c r="D23" s="52">
        <f t="shared" si="0"/>
        <v>45657</v>
      </c>
      <c r="E23" s="71">
        <f t="shared" si="6"/>
        <v>1698985.5975899505</v>
      </c>
      <c r="F23" s="71">
        <f t="shared" si="7"/>
        <v>62672.730922861701</v>
      </c>
      <c r="G23" s="71">
        <f t="shared" si="1"/>
        <v>11326.570650599671</v>
      </c>
      <c r="H23" s="71">
        <f t="shared" si="2"/>
        <v>51346.16027226203</v>
      </c>
      <c r="I23" s="64">
        <f t="shared" si="3"/>
        <v>1647639.4373176885</v>
      </c>
    </row>
    <row r="24" spans="2:10" x14ac:dyDescent="0.25">
      <c r="B24" s="10">
        <f t="shared" si="4"/>
        <v>8</v>
      </c>
      <c r="C24" s="52">
        <f t="shared" si="5"/>
        <v>45658</v>
      </c>
      <c r="D24" s="52">
        <f t="shared" si="0"/>
        <v>45688</v>
      </c>
      <c r="E24" s="71">
        <f t="shared" si="6"/>
        <v>1647639.4373176885</v>
      </c>
      <c r="F24" s="71">
        <f t="shared" si="7"/>
        <v>62672.730922861701</v>
      </c>
      <c r="G24" s="71">
        <f t="shared" si="1"/>
        <v>10984.262915451256</v>
      </c>
      <c r="H24" s="71">
        <f t="shared" si="2"/>
        <v>51688.468007410447</v>
      </c>
      <c r="I24" s="64">
        <f t="shared" si="3"/>
        <v>1595950.9693102781</v>
      </c>
    </row>
    <row r="25" spans="2:10" outlineLevel="1" x14ac:dyDescent="0.25">
      <c r="B25" s="10">
        <f t="shared" si="4"/>
        <v>9</v>
      </c>
      <c r="C25" s="52">
        <f t="shared" si="5"/>
        <v>45689</v>
      </c>
      <c r="D25" s="52">
        <f t="shared" si="0"/>
        <v>45716</v>
      </c>
      <c r="E25" s="71">
        <f t="shared" si="6"/>
        <v>1595950.9693102781</v>
      </c>
      <c r="F25" s="71">
        <f t="shared" si="7"/>
        <v>62672.730922861701</v>
      </c>
      <c r="G25" s="71">
        <f t="shared" si="1"/>
        <v>10639.673128735189</v>
      </c>
      <c r="H25" s="71">
        <f t="shared" si="2"/>
        <v>52033.057794126515</v>
      </c>
      <c r="I25" s="64">
        <f t="shared" si="3"/>
        <v>1543917.9115161516</v>
      </c>
    </row>
    <row r="26" spans="2:10" outlineLevel="1" x14ac:dyDescent="0.25">
      <c r="B26" s="10">
        <f t="shared" si="4"/>
        <v>10</v>
      </c>
      <c r="C26" s="52">
        <f t="shared" si="5"/>
        <v>45717</v>
      </c>
      <c r="D26" s="52">
        <f t="shared" si="0"/>
        <v>45747</v>
      </c>
      <c r="E26" s="71">
        <f t="shared" si="6"/>
        <v>1543917.9115161516</v>
      </c>
      <c r="F26" s="71">
        <f t="shared" si="7"/>
        <v>62672.730922861701</v>
      </c>
      <c r="G26" s="71">
        <f t="shared" si="1"/>
        <v>10292.786076774344</v>
      </c>
      <c r="H26" s="71">
        <f t="shared" si="2"/>
        <v>52379.944846087354</v>
      </c>
      <c r="I26" s="64">
        <f t="shared" si="3"/>
        <v>1491537.9666700643</v>
      </c>
    </row>
    <row r="27" spans="2:10" outlineLevel="1" x14ac:dyDescent="0.25">
      <c r="B27" s="10">
        <f t="shared" si="4"/>
        <v>11</v>
      </c>
      <c r="C27" s="52">
        <f t="shared" si="5"/>
        <v>45748</v>
      </c>
      <c r="D27" s="52">
        <f t="shared" si="0"/>
        <v>45777</v>
      </c>
      <c r="E27" s="71">
        <f t="shared" si="6"/>
        <v>1491537.9666700643</v>
      </c>
      <c r="F27" s="71">
        <f t="shared" si="7"/>
        <v>62672.730922861701</v>
      </c>
      <c r="G27" s="71">
        <f t="shared" si="1"/>
        <v>9943.5864444670951</v>
      </c>
      <c r="H27" s="71">
        <f t="shared" si="2"/>
        <v>52729.144478394606</v>
      </c>
      <c r="I27" s="64">
        <f t="shared" si="3"/>
        <v>1438808.8221916696</v>
      </c>
    </row>
    <row r="28" spans="2:10" outlineLevel="1" x14ac:dyDescent="0.25">
      <c r="B28" s="10">
        <f t="shared" si="4"/>
        <v>12</v>
      </c>
      <c r="C28" s="52">
        <f t="shared" si="5"/>
        <v>45778</v>
      </c>
      <c r="D28" s="52">
        <f t="shared" si="0"/>
        <v>45808</v>
      </c>
      <c r="E28" s="71">
        <f t="shared" si="6"/>
        <v>1438808.8221916696</v>
      </c>
      <c r="F28" s="71">
        <f t="shared" si="7"/>
        <v>62672.730922861701</v>
      </c>
      <c r="G28" s="71">
        <f t="shared" si="1"/>
        <v>9592.0588146111313</v>
      </c>
      <c r="H28" s="71">
        <f t="shared" si="2"/>
        <v>53080.672108250568</v>
      </c>
      <c r="I28" s="64">
        <f t="shared" si="3"/>
        <v>1385728.1500834189</v>
      </c>
    </row>
    <row r="29" spans="2:10" outlineLevel="1" x14ac:dyDescent="0.25">
      <c r="B29" s="10">
        <f t="shared" si="4"/>
        <v>13</v>
      </c>
      <c r="C29" s="52">
        <f t="shared" si="5"/>
        <v>45809</v>
      </c>
      <c r="D29" s="52">
        <f t="shared" si="0"/>
        <v>45838</v>
      </c>
      <c r="E29" s="71">
        <f t="shared" si="6"/>
        <v>1385728.1500834189</v>
      </c>
      <c r="F29" s="71">
        <f t="shared" si="7"/>
        <v>62672.730922861701</v>
      </c>
      <c r="G29" s="71">
        <f t="shared" si="1"/>
        <v>9238.1876672227936</v>
      </c>
      <c r="H29" s="71">
        <f t="shared" si="2"/>
        <v>53434.543255638906</v>
      </c>
      <c r="I29" s="64">
        <f t="shared" si="3"/>
        <v>1332293.6068277801</v>
      </c>
    </row>
    <row r="30" spans="2:10" outlineLevel="1" x14ac:dyDescent="0.25">
      <c r="B30" s="10">
        <f t="shared" si="4"/>
        <v>14</v>
      </c>
      <c r="C30" s="52">
        <f t="shared" si="5"/>
        <v>45839</v>
      </c>
      <c r="D30" s="52">
        <f t="shared" si="0"/>
        <v>45869</v>
      </c>
      <c r="E30" s="71">
        <f t="shared" si="6"/>
        <v>1332293.6068277801</v>
      </c>
      <c r="F30" s="71">
        <f t="shared" si="7"/>
        <v>62672.730922861701</v>
      </c>
      <c r="G30" s="71">
        <f t="shared" si="1"/>
        <v>8881.9573788518683</v>
      </c>
      <c r="H30" s="71">
        <f t="shared" si="2"/>
        <v>53790.773544009833</v>
      </c>
      <c r="I30" s="64">
        <f t="shared" si="3"/>
        <v>1278502.8332837704</v>
      </c>
    </row>
    <row r="31" spans="2:10" outlineLevel="1" x14ac:dyDescent="0.25">
      <c r="B31" s="10">
        <f t="shared" si="4"/>
        <v>15</v>
      </c>
      <c r="C31" s="52">
        <f t="shared" si="5"/>
        <v>45870</v>
      </c>
      <c r="D31" s="52">
        <f t="shared" si="0"/>
        <v>45900</v>
      </c>
      <c r="E31" s="71">
        <f t="shared" si="6"/>
        <v>1278502.8332837704</v>
      </c>
      <c r="F31" s="71">
        <f t="shared" si="7"/>
        <v>62672.730922861701</v>
      </c>
      <c r="G31" s="71">
        <f t="shared" si="1"/>
        <v>8523.3522218918024</v>
      </c>
      <c r="H31" s="71">
        <f t="shared" si="2"/>
        <v>54149.378700969901</v>
      </c>
      <c r="I31" s="64">
        <f t="shared" si="3"/>
        <v>1224353.4545828004</v>
      </c>
    </row>
    <row r="32" spans="2:10" outlineLevel="1" x14ac:dyDescent="0.25">
      <c r="B32" s="10">
        <f t="shared" si="4"/>
        <v>16</v>
      </c>
      <c r="C32" s="52">
        <f t="shared" si="5"/>
        <v>45901</v>
      </c>
      <c r="D32" s="52">
        <f t="shared" si="0"/>
        <v>45930</v>
      </c>
      <c r="E32" s="71">
        <f t="shared" si="6"/>
        <v>1224353.4545828004</v>
      </c>
      <c r="F32" s="71">
        <f t="shared" si="7"/>
        <v>62672.730922861701</v>
      </c>
      <c r="G32" s="71">
        <f t="shared" si="1"/>
        <v>8162.3563638853366</v>
      </c>
      <c r="H32" s="71">
        <f t="shared" si="2"/>
        <v>54510.374558976364</v>
      </c>
      <c r="I32" s="64">
        <f t="shared" si="3"/>
        <v>1169843.080023824</v>
      </c>
    </row>
    <row r="33" spans="2:9" outlineLevel="1" x14ac:dyDescent="0.25">
      <c r="B33" s="10">
        <f t="shared" si="4"/>
        <v>17</v>
      </c>
      <c r="C33" s="52">
        <f t="shared" si="5"/>
        <v>45931</v>
      </c>
      <c r="D33" s="52">
        <f t="shared" si="0"/>
        <v>45961</v>
      </c>
      <c r="E33" s="71">
        <f t="shared" si="6"/>
        <v>1169843.080023824</v>
      </c>
      <c r="F33" s="71">
        <f t="shared" si="7"/>
        <v>62672.730922861701</v>
      </c>
      <c r="G33" s="71">
        <f t="shared" si="1"/>
        <v>7798.9538668254936</v>
      </c>
      <c r="H33" s="71">
        <f t="shared" si="2"/>
        <v>54873.777056036211</v>
      </c>
      <c r="I33" s="64">
        <f t="shared" si="3"/>
        <v>1114969.3029677877</v>
      </c>
    </row>
    <row r="34" spans="2:9" outlineLevel="1" x14ac:dyDescent="0.25">
      <c r="B34" s="10">
        <f t="shared" si="4"/>
        <v>18</v>
      </c>
      <c r="C34" s="52">
        <f t="shared" si="5"/>
        <v>45962</v>
      </c>
      <c r="D34" s="52">
        <f t="shared" si="0"/>
        <v>45991</v>
      </c>
      <c r="E34" s="71">
        <f t="shared" si="6"/>
        <v>1114969.3029677877</v>
      </c>
      <c r="F34" s="71">
        <f t="shared" si="7"/>
        <v>62672.730922861701</v>
      </c>
      <c r="G34" s="71">
        <f t="shared" si="1"/>
        <v>7433.1286864519179</v>
      </c>
      <c r="H34" s="71">
        <f t="shared" si="2"/>
        <v>55239.602236409781</v>
      </c>
      <c r="I34" s="64">
        <f t="shared" si="3"/>
        <v>1059729.700731378</v>
      </c>
    </row>
    <row r="35" spans="2:9" outlineLevel="1" x14ac:dyDescent="0.25">
      <c r="B35" s="10">
        <f t="shared" si="4"/>
        <v>19</v>
      </c>
      <c r="C35" s="52">
        <f t="shared" si="5"/>
        <v>45992</v>
      </c>
      <c r="D35" s="52">
        <f t="shared" si="0"/>
        <v>46022</v>
      </c>
      <c r="E35" s="71">
        <f t="shared" si="6"/>
        <v>1059729.700731378</v>
      </c>
      <c r="F35" s="71">
        <f t="shared" si="7"/>
        <v>62672.730922861701</v>
      </c>
      <c r="G35" s="71">
        <f t="shared" si="1"/>
        <v>7064.8646715425202</v>
      </c>
      <c r="H35" s="71">
        <f t="shared" si="2"/>
        <v>55607.866251319181</v>
      </c>
      <c r="I35" s="64">
        <f t="shared" si="3"/>
        <v>1004121.8344800589</v>
      </c>
    </row>
    <row r="36" spans="2:9" outlineLevel="1" x14ac:dyDescent="0.25">
      <c r="B36" s="10">
        <f t="shared" si="4"/>
        <v>20</v>
      </c>
      <c r="C36" s="52">
        <f t="shared" si="5"/>
        <v>46023</v>
      </c>
      <c r="D36" s="52">
        <f t="shared" si="0"/>
        <v>46053</v>
      </c>
      <c r="E36" s="71">
        <f t="shared" si="6"/>
        <v>1004121.8344800589</v>
      </c>
      <c r="F36" s="71">
        <f t="shared" si="7"/>
        <v>62672.730922861701</v>
      </c>
      <c r="G36" s="71">
        <f t="shared" si="1"/>
        <v>6694.1455632003926</v>
      </c>
      <c r="H36" s="71">
        <f t="shared" si="2"/>
        <v>55978.585359661309</v>
      </c>
      <c r="I36" s="64">
        <f t="shared" si="3"/>
        <v>948143.24912039761</v>
      </c>
    </row>
    <row r="37" spans="2:9" outlineLevel="1" x14ac:dyDescent="0.25">
      <c r="B37" s="10">
        <f t="shared" si="4"/>
        <v>21</v>
      </c>
      <c r="C37" s="52">
        <f t="shared" si="5"/>
        <v>46054</v>
      </c>
      <c r="D37" s="52">
        <f t="shared" si="0"/>
        <v>46081</v>
      </c>
      <c r="E37" s="71">
        <f t="shared" si="6"/>
        <v>948143.24912039761</v>
      </c>
      <c r="F37" s="71">
        <f t="shared" si="7"/>
        <v>62672.730922861701</v>
      </c>
      <c r="G37" s="71">
        <f t="shared" si="1"/>
        <v>6320.9549941359837</v>
      </c>
      <c r="H37" s="71">
        <f t="shared" si="2"/>
        <v>56351.775928725721</v>
      </c>
      <c r="I37" s="64">
        <f t="shared" si="3"/>
        <v>891791.47319167189</v>
      </c>
    </row>
    <row r="38" spans="2:9" outlineLevel="1" x14ac:dyDescent="0.25">
      <c r="B38" s="10">
        <f t="shared" si="4"/>
        <v>22</v>
      </c>
      <c r="C38" s="52">
        <f t="shared" si="5"/>
        <v>46082</v>
      </c>
      <c r="D38" s="52">
        <f t="shared" si="0"/>
        <v>46112</v>
      </c>
      <c r="E38" s="71">
        <f t="shared" si="6"/>
        <v>891791.47319167189</v>
      </c>
      <c r="F38" s="71">
        <f t="shared" si="7"/>
        <v>62672.730922861701</v>
      </c>
      <c r="G38" s="71">
        <f t="shared" si="1"/>
        <v>5945.2764879444794</v>
      </c>
      <c r="H38" s="71">
        <f t="shared" si="2"/>
        <v>56727.454434917221</v>
      </c>
      <c r="I38" s="64">
        <f t="shared" si="3"/>
        <v>835064.0187567547</v>
      </c>
    </row>
    <row r="39" spans="2:9" outlineLevel="1" x14ac:dyDescent="0.25">
      <c r="B39" s="10">
        <f t="shared" si="4"/>
        <v>23</v>
      </c>
      <c r="C39" s="52">
        <f t="shared" si="5"/>
        <v>46113</v>
      </c>
      <c r="D39" s="52">
        <f t="shared" si="0"/>
        <v>46142</v>
      </c>
      <c r="E39" s="71">
        <f t="shared" si="6"/>
        <v>835064.0187567547</v>
      </c>
      <c r="F39" s="71">
        <f t="shared" si="7"/>
        <v>62672.730922861701</v>
      </c>
      <c r="G39" s="71">
        <f t="shared" si="1"/>
        <v>5567.0934583783646</v>
      </c>
      <c r="H39" s="71">
        <f t="shared" si="2"/>
        <v>57105.637464483334</v>
      </c>
      <c r="I39" s="64">
        <f t="shared" si="3"/>
        <v>777958.38129227131</v>
      </c>
    </row>
    <row r="40" spans="2:9" outlineLevel="1" x14ac:dyDescent="0.25">
      <c r="B40" s="10">
        <f t="shared" si="4"/>
        <v>24</v>
      </c>
      <c r="C40" s="52">
        <f t="shared" si="5"/>
        <v>46143</v>
      </c>
      <c r="D40" s="52">
        <f t="shared" si="0"/>
        <v>46173</v>
      </c>
      <c r="E40" s="71">
        <f t="shared" si="6"/>
        <v>777958.38129227131</v>
      </c>
      <c r="F40" s="71">
        <f t="shared" si="7"/>
        <v>62672.730922861701</v>
      </c>
      <c r="G40" s="71">
        <f t="shared" si="1"/>
        <v>5186.3892086151418</v>
      </c>
      <c r="H40" s="71">
        <f t="shared" si="2"/>
        <v>57486.341714246562</v>
      </c>
      <c r="I40" s="64">
        <f t="shared" si="3"/>
        <v>720472.03957802476</v>
      </c>
    </row>
    <row r="41" spans="2:9" outlineLevel="1" x14ac:dyDescent="0.25">
      <c r="B41" s="10">
        <f t="shared" si="4"/>
        <v>25</v>
      </c>
      <c r="C41" s="52">
        <f t="shared" si="5"/>
        <v>46174</v>
      </c>
      <c r="D41" s="52">
        <f t="shared" si="0"/>
        <v>46203</v>
      </c>
      <c r="E41" s="71">
        <f t="shared" si="6"/>
        <v>720472.03957802476</v>
      </c>
      <c r="F41" s="71">
        <f t="shared" si="7"/>
        <v>62672.730922861701</v>
      </c>
      <c r="G41" s="71">
        <f t="shared" si="1"/>
        <v>4803.1469305201654</v>
      </c>
      <c r="H41" s="71">
        <f t="shared" si="2"/>
        <v>57869.583992341533</v>
      </c>
      <c r="I41" s="64">
        <f t="shared" si="3"/>
        <v>662602.45558568323</v>
      </c>
    </row>
    <row r="42" spans="2:9" outlineLevel="1" x14ac:dyDescent="0.25">
      <c r="B42" s="10">
        <f t="shared" si="4"/>
        <v>26</v>
      </c>
      <c r="C42" s="52">
        <f t="shared" si="5"/>
        <v>46204</v>
      </c>
      <c r="D42" s="52">
        <f t="shared" si="0"/>
        <v>46234</v>
      </c>
      <c r="E42" s="71">
        <f t="shared" si="6"/>
        <v>662602.45558568323</v>
      </c>
      <c r="F42" s="71">
        <f t="shared" si="7"/>
        <v>62672.730922861701</v>
      </c>
      <c r="G42" s="71">
        <f t="shared" si="1"/>
        <v>4417.3497039045551</v>
      </c>
      <c r="H42" s="71">
        <f t="shared" si="2"/>
        <v>58255.381218957147</v>
      </c>
      <c r="I42" s="64">
        <f t="shared" si="3"/>
        <v>604347.0743667261</v>
      </c>
    </row>
    <row r="43" spans="2:9" outlineLevel="1" x14ac:dyDescent="0.25">
      <c r="B43" s="10">
        <f t="shared" si="4"/>
        <v>27</v>
      </c>
      <c r="C43" s="52">
        <f t="shared" si="5"/>
        <v>46235</v>
      </c>
      <c r="D43" s="52">
        <f t="shared" si="0"/>
        <v>46265</v>
      </c>
      <c r="E43" s="71">
        <f t="shared" si="6"/>
        <v>604347.0743667261</v>
      </c>
      <c r="F43" s="71">
        <f t="shared" si="7"/>
        <v>62672.730922861701</v>
      </c>
      <c r="G43" s="71">
        <f t="shared" si="1"/>
        <v>4028.9804957781739</v>
      </c>
      <c r="H43" s="71">
        <f t="shared" si="2"/>
        <v>58643.750427083527</v>
      </c>
      <c r="I43" s="64">
        <f t="shared" si="3"/>
        <v>545703.32393964252</v>
      </c>
    </row>
    <row r="44" spans="2:9" outlineLevel="1" x14ac:dyDescent="0.25">
      <c r="B44" s="10">
        <f t="shared" si="4"/>
        <v>28</v>
      </c>
      <c r="C44" s="52">
        <f t="shared" si="5"/>
        <v>46266</v>
      </c>
      <c r="D44" s="52">
        <f t="shared" si="0"/>
        <v>46295</v>
      </c>
      <c r="E44" s="71">
        <f t="shared" si="6"/>
        <v>545703.32393964252</v>
      </c>
      <c r="F44" s="71">
        <f t="shared" si="7"/>
        <v>62672.730922861701</v>
      </c>
      <c r="G44" s="71">
        <f t="shared" si="1"/>
        <v>3638.0221595976168</v>
      </c>
      <c r="H44" s="71">
        <f t="shared" si="2"/>
        <v>59034.708763264083</v>
      </c>
      <c r="I44" s="64">
        <f t="shared" si="3"/>
        <v>486668.61517637846</v>
      </c>
    </row>
    <row r="45" spans="2:9" outlineLevel="1" x14ac:dyDescent="0.25">
      <c r="B45" s="10">
        <f t="shared" si="4"/>
        <v>29</v>
      </c>
      <c r="C45" s="52">
        <f t="shared" si="5"/>
        <v>46296</v>
      </c>
      <c r="D45" s="52">
        <f t="shared" si="0"/>
        <v>46326</v>
      </c>
      <c r="E45" s="71">
        <f t="shared" si="6"/>
        <v>486668.61517637846</v>
      </c>
      <c r="F45" s="71">
        <f t="shared" si="7"/>
        <v>62672.730922861701</v>
      </c>
      <c r="G45" s="71">
        <f t="shared" si="1"/>
        <v>3244.4574345091896</v>
      </c>
      <c r="H45" s="71">
        <f t="shared" si="2"/>
        <v>59428.273488352512</v>
      </c>
      <c r="I45" s="64">
        <f t="shared" si="3"/>
        <v>427240.34168802598</v>
      </c>
    </row>
    <row r="46" spans="2:9" outlineLevel="1" x14ac:dyDescent="0.25">
      <c r="B46" s="10">
        <f t="shared" si="4"/>
        <v>30</v>
      </c>
      <c r="C46" s="52">
        <f t="shared" si="5"/>
        <v>46327</v>
      </c>
      <c r="D46" s="52">
        <f t="shared" si="0"/>
        <v>46356</v>
      </c>
      <c r="E46" s="71">
        <f t="shared" si="6"/>
        <v>427240.34168802598</v>
      </c>
      <c r="F46" s="71">
        <f t="shared" si="7"/>
        <v>62672.730922861701</v>
      </c>
      <c r="G46" s="71">
        <f t="shared" si="1"/>
        <v>2848.26894458684</v>
      </c>
      <c r="H46" s="71">
        <f t="shared" si="2"/>
        <v>59824.461978274863</v>
      </c>
      <c r="I46" s="64">
        <f t="shared" si="3"/>
        <v>367415.87970975111</v>
      </c>
    </row>
    <row r="47" spans="2:9" outlineLevel="1" x14ac:dyDescent="0.25">
      <c r="B47" s="10">
        <f t="shared" si="4"/>
        <v>31</v>
      </c>
      <c r="C47" s="52">
        <f t="shared" si="5"/>
        <v>46357</v>
      </c>
      <c r="D47" s="52">
        <f t="shared" si="0"/>
        <v>46387</v>
      </c>
      <c r="E47" s="71">
        <f t="shared" si="6"/>
        <v>367415.87970975111</v>
      </c>
      <c r="F47" s="71">
        <f t="shared" si="7"/>
        <v>62672.730922861701</v>
      </c>
      <c r="G47" s="71">
        <f t="shared" si="1"/>
        <v>2449.4391980650075</v>
      </c>
      <c r="H47" s="71">
        <f t="shared" si="2"/>
        <v>60223.291724796691</v>
      </c>
      <c r="I47" s="64">
        <f t="shared" si="3"/>
        <v>307192.58798495441</v>
      </c>
    </row>
    <row r="48" spans="2:9" outlineLevel="1" x14ac:dyDescent="0.25">
      <c r="B48" s="10">
        <f t="shared" si="4"/>
        <v>32</v>
      </c>
      <c r="C48" s="52">
        <f t="shared" si="5"/>
        <v>46388</v>
      </c>
      <c r="D48" s="52">
        <f t="shared" si="0"/>
        <v>46418</v>
      </c>
      <c r="E48" s="71">
        <f t="shared" si="6"/>
        <v>307192.58798495441</v>
      </c>
      <c r="F48" s="71">
        <f t="shared" si="7"/>
        <v>62672.730922861701</v>
      </c>
      <c r="G48" s="71">
        <f t="shared" si="1"/>
        <v>2047.950586566363</v>
      </c>
      <c r="H48" s="71">
        <f t="shared" si="2"/>
        <v>60624.780336295342</v>
      </c>
      <c r="I48" s="64">
        <f t="shared" si="3"/>
        <v>246567.80764865907</v>
      </c>
    </row>
    <row r="49" spans="2:9" outlineLevel="1" x14ac:dyDescent="0.25">
      <c r="B49" s="10">
        <f t="shared" si="4"/>
        <v>33</v>
      </c>
      <c r="C49" s="52">
        <f t="shared" si="5"/>
        <v>46419</v>
      </c>
      <c r="D49" s="52">
        <f t="shared" ref="D49:D52" si="8">EOMONTH(C49,0)</f>
        <v>46446</v>
      </c>
      <c r="E49" s="71">
        <f t="shared" si="6"/>
        <v>246567.80764865907</v>
      </c>
      <c r="F49" s="71">
        <f t="shared" si="7"/>
        <v>62672.730922861701</v>
      </c>
      <c r="G49" s="71">
        <f t="shared" ref="G49:G52" si="9">+E49*$F$7/12</f>
        <v>1643.7853843243938</v>
      </c>
      <c r="H49" s="71">
        <f t="shared" ref="H49:H52" si="10">+F49-G49</f>
        <v>61028.945538537308</v>
      </c>
      <c r="I49" s="64">
        <f t="shared" ref="I49:I52" si="11">+E49-H49</f>
        <v>185538.86211012176</v>
      </c>
    </row>
    <row r="50" spans="2:9" x14ac:dyDescent="0.25">
      <c r="B50" s="10">
        <f t="shared" ref="B50:B52" si="12">+B49+1</f>
        <v>34</v>
      </c>
      <c r="C50" s="52">
        <f t="shared" ref="C50:C52" si="13">EDATE(C49,1)</f>
        <v>46447</v>
      </c>
      <c r="D50" s="52">
        <f t="shared" si="8"/>
        <v>46477</v>
      </c>
      <c r="E50" s="71">
        <f t="shared" ref="E50:E52" si="14">+I49</f>
        <v>185538.86211012176</v>
      </c>
      <c r="F50" s="71">
        <f t="shared" ref="F50:F52" si="15">+F49</f>
        <v>62672.730922861701</v>
      </c>
      <c r="G50" s="71">
        <f t="shared" si="9"/>
        <v>1236.9257474008118</v>
      </c>
      <c r="H50" s="71">
        <f t="shared" si="10"/>
        <v>61435.80517546089</v>
      </c>
      <c r="I50" s="64">
        <f t="shared" si="11"/>
        <v>124103.05693466087</v>
      </c>
    </row>
    <row r="51" spans="2:9" x14ac:dyDescent="0.25">
      <c r="B51" s="10">
        <f t="shared" si="12"/>
        <v>35</v>
      </c>
      <c r="C51" s="52">
        <f t="shared" si="13"/>
        <v>46478</v>
      </c>
      <c r="D51" s="52">
        <f t="shared" si="8"/>
        <v>46507</v>
      </c>
      <c r="E51" s="71">
        <f t="shared" si="14"/>
        <v>124103.05693466087</v>
      </c>
      <c r="F51" s="71">
        <f t="shared" si="15"/>
        <v>62672.730922861701</v>
      </c>
      <c r="G51" s="71">
        <f t="shared" si="9"/>
        <v>827.35371289773911</v>
      </c>
      <c r="H51" s="71">
        <f t="shared" si="10"/>
        <v>61845.377209963961</v>
      </c>
      <c r="I51" s="64">
        <f t="shared" si="11"/>
        <v>62257.679724696907</v>
      </c>
    </row>
    <row r="52" spans="2:9" x14ac:dyDescent="0.25">
      <c r="B52" s="10">
        <f t="shared" si="12"/>
        <v>36</v>
      </c>
      <c r="C52" s="52">
        <f t="shared" si="13"/>
        <v>46508</v>
      </c>
      <c r="D52" s="52">
        <f t="shared" si="8"/>
        <v>46538</v>
      </c>
      <c r="E52" s="71">
        <f t="shared" si="14"/>
        <v>62257.679724696907</v>
      </c>
      <c r="F52" s="71">
        <f t="shared" si="15"/>
        <v>62672.730922861701</v>
      </c>
      <c r="G52" s="71">
        <f t="shared" si="9"/>
        <v>415.05119816464611</v>
      </c>
      <c r="H52" s="71">
        <f t="shared" si="10"/>
        <v>62257.679724697053</v>
      </c>
      <c r="I52" s="64">
        <f t="shared" si="11"/>
        <v>-1.4551915228366852E-10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E593D-67C2-4544-9990-63B0ABC2BA7B}">
  <sheetPr>
    <tabColor theme="8" tint="0.79998168889431442"/>
  </sheetPr>
  <dimension ref="B1:K76"/>
  <sheetViews>
    <sheetView showGridLines="0" zoomScale="90" zoomScaleNormal="90" workbookViewId="0">
      <pane xSplit="4" ySplit="16" topLeftCell="E17" activePane="bottomRight" state="frozen"/>
      <selection sqref="A1:XFD1048576"/>
      <selection pane="topRight" sqref="A1:XFD1048576"/>
      <selection pane="bottomLeft" sqref="A1:XFD1048576"/>
      <selection pane="bottomRight" activeCell="I23" sqref="I23"/>
    </sheetView>
  </sheetViews>
  <sheetFormatPr defaultRowHeight="15.75" outlineLevelRow="1" x14ac:dyDescent="0.25"/>
  <cols>
    <col min="1" max="1" width="9.140625" style="10"/>
    <col min="2" max="2" width="20.28515625" style="10" bestFit="1" customWidth="1"/>
    <col min="3" max="3" width="13.85546875" style="10" bestFit="1" customWidth="1"/>
    <col min="4" max="4" width="13.5703125" style="10" customWidth="1"/>
    <col min="5" max="6" width="18.85546875" style="10" bestFit="1" customWidth="1"/>
    <col min="7" max="8" width="15.5703125" style="10" bestFit="1" customWidth="1"/>
    <col min="9" max="9" width="18.85546875" style="10" bestFit="1" customWidth="1"/>
    <col min="10" max="16384" width="9.140625" style="10"/>
  </cols>
  <sheetData>
    <row r="1" spans="2:11" x14ac:dyDescent="0.25">
      <c r="F1" s="51" t="str">
        <f>+'E-Commerce Loan'!F1</f>
        <v>Loan Payment Schedule</v>
      </c>
    </row>
    <row r="2" spans="2:11" x14ac:dyDescent="0.25">
      <c r="F2" s="51" t="str">
        <f>+'Business Plan'!C75</f>
        <v>Apartment Complex Loan</v>
      </c>
    </row>
    <row r="3" spans="2:11" x14ac:dyDescent="0.25">
      <c r="F3" s="51" t="s">
        <v>298</v>
      </c>
    </row>
    <row r="5" spans="2:11" x14ac:dyDescent="0.25">
      <c r="F5" s="10" t="s">
        <v>297</v>
      </c>
    </row>
    <row r="6" spans="2:11" x14ac:dyDescent="0.25">
      <c r="B6" s="11" t="s">
        <v>296</v>
      </c>
      <c r="F6" s="109">
        <f>+'Business Plan'!D79</f>
        <v>3000000</v>
      </c>
    </row>
    <row r="7" spans="2:11" x14ac:dyDescent="0.25">
      <c r="B7" s="11" t="s">
        <v>295</v>
      </c>
      <c r="F7" s="110">
        <f>+'Business Plan'!D80</f>
        <v>0.15</v>
      </c>
    </row>
    <row r="8" spans="2:11" x14ac:dyDescent="0.25">
      <c r="B8" s="11" t="s">
        <v>294</v>
      </c>
      <c r="F8" s="111">
        <v>5</v>
      </c>
    </row>
    <row r="9" spans="2:11" x14ac:dyDescent="0.25">
      <c r="B9" s="11" t="s">
        <v>293</v>
      </c>
      <c r="F9" s="112">
        <f>EOMONTH('Business Plan'!D82,0)+1</f>
        <v>45444</v>
      </c>
    </row>
    <row r="10" spans="2:11" x14ac:dyDescent="0.25">
      <c r="B10" s="11" t="s">
        <v>571</v>
      </c>
      <c r="F10" s="112">
        <f>EOMONTH(F9,F8*12-1)</f>
        <v>47269</v>
      </c>
    </row>
    <row r="11" spans="2:11" x14ac:dyDescent="0.25">
      <c r="B11" s="11"/>
    </row>
    <row r="12" spans="2:11" x14ac:dyDescent="0.25">
      <c r="B12" s="11" t="s">
        <v>292</v>
      </c>
      <c r="F12" s="113">
        <f>-PMT(F7/12,F13,F6,0)</f>
        <v>71369.790259076195</v>
      </c>
    </row>
    <row r="13" spans="2:11" x14ac:dyDescent="0.25">
      <c r="B13" s="11" t="s">
        <v>291</v>
      </c>
      <c r="F13" s="114">
        <f>+F8*12</f>
        <v>60</v>
      </c>
    </row>
    <row r="14" spans="2:11" x14ac:dyDescent="0.25">
      <c r="B14" s="11" t="s">
        <v>290</v>
      </c>
      <c r="F14" s="115">
        <f>+SUM(G17:G52)</f>
        <v>1041259.74067109</v>
      </c>
    </row>
    <row r="15" spans="2:11" x14ac:dyDescent="0.25">
      <c r="B15" s="11" t="s">
        <v>289</v>
      </c>
      <c r="F15" s="115">
        <f>+F6+F14</f>
        <v>4041259.7406710899</v>
      </c>
    </row>
    <row r="16" spans="2:11" s="11" customFormat="1" ht="28.5" customHeight="1" x14ac:dyDescent="0.25">
      <c r="B16" s="116" t="s">
        <v>288</v>
      </c>
      <c r="C16" s="116" t="s">
        <v>287</v>
      </c>
      <c r="D16" s="116" t="s">
        <v>286</v>
      </c>
      <c r="E16" s="116" t="s">
        <v>285</v>
      </c>
      <c r="F16" s="116" t="s">
        <v>284</v>
      </c>
      <c r="G16" s="116" t="s">
        <v>283</v>
      </c>
      <c r="H16" s="116" t="s">
        <v>282</v>
      </c>
      <c r="I16" s="116" t="s">
        <v>281</v>
      </c>
      <c r="J16" s="116"/>
      <c r="K16" s="116"/>
    </row>
    <row r="17" spans="2:10" x14ac:dyDescent="0.25">
      <c r="B17" s="10">
        <v>1</v>
      </c>
      <c r="C17" s="52">
        <f>EDATE($F$9,0)</f>
        <v>45444</v>
      </c>
      <c r="D17" s="52">
        <f t="shared" ref="D17:D21" si="0">EOMONTH(C17,0)</f>
        <v>45473</v>
      </c>
      <c r="E17" s="71">
        <f>+$F$6</f>
        <v>3000000</v>
      </c>
      <c r="F17" s="71">
        <f>+F12</f>
        <v>71369.790259076195</v>
      </c>
      <c r="G17" s="71">
        <f t="shared" ref="G17:G48" si="1">+E17*$F$7/12</f>
        <v>37500</v>
      </c>
      <c r="H17" s="71">
        <f t="shared" ref="H17:H48" si="2">+F17-G17</f>
        <v>33869.790259076195</v>
      </c>
      <c r="I17" s="64">
        <f t="shared" ref="I17:I48" si="3">+E17-H17</f>
        <v>2966130.2097409237</v>
      </c>
      <c r="J17" s="11"/>
    </row>
    <row r="18" spans="2:10" x14ac:dyDescent="0.25">
      <c r="B18" s="10">
        <f t="shared" ref="B18:B49" si="4">+B17+1</f>
        <v>2</v>
      </c>
      <c r="C18" s="52">
        <f t="shared" ref="C18:C23" si="5">EDATE(C17,1)</f>
        <v>45474</v>
      </c>
      <c r="D18" s="52">
        <f t="shared" si="0"/>
        <v>45504</v>
      </c>
      <c r="E18" s="71">
        <f t="shared" ref="E18:E49" si="6">+I17</f>
        <v>2966130.2097409237</v>
      </c>
      <c r="F18" s="71">
        <f t="shared" ref="F18:F49" si="7">+F17</f>
        <v>71369.790259076195</v>
      </c>
      <c r="G18" s="71">
        <f t="shared" si="1"/>
        <v>37076.627621761545</v>
      </c>
      <c r="H18" s="71">
        <f t="shared" si="2"/>
        <v>34293.16263731465</v>
      </c>
      <c r="I18" s="64">
        <f t="shared" si="3"/>
        <v>2931837.047103609</v>
      </c>
    </row>
    <row r="19" spans="2:10" x14ac:dyDescent="0.25">
      <c r="B19" s="10">
        <f t="shared" si="4"/>
        <v>3</v>
      </c>
      <c r="C19" s="52">
        <f t="shared" si="5"/>
        <v>45505</v>
      </c>
      <c r="D19" s="52">
        <f t="shared" si="0"/>
        <v>45535</v>
      </c>
      <c r="E19" s="71">
        <f t="shared" si="6"/>
        <v>2931837.047103609</v>
      </c>
      <c r="F19" s="71">
        <f t="shared" si="7"/>
        <v>71369.790259076195</v>
      </c>
      <c r="G19" s="71">
        <f t="shared" si="1"/>
        <v>36647.963088795113</v>
      </c>
      <c r="H19" s="71">
        <f t="shared" si="2"/>
        <v>34721.827170281082</v>
      </c>
      <c r="I19" s="64">
        <f t="shared" si="3"/>
        <v>2897115.2199333278</v>
      </c>
    </row>
    <row r="20" spans="2:10" x14ac:dyDescent="0.25">
      <c r="B20" s="10">
        <f t="shared" si="4"/>
        <v>4</v>
      </c>
      <c r="C20" s="52">
        <f t="shared" si="5"/>
        <v>45536</v>
      </c>
      <c r="D20" s="52">
        <f t="shared" si="0"/>
        <v>45565</v>
      </c>
      <c r="E20" s="71">
        <f t="shared" si="6"/>
        <v>2897115.2199333278</v>
      </c>
      <c r="F20" s="71">
        <f t="shared" si="7"/>
        <v>71369.790259076195</v>
      </c>
      <c r="G20" s="71">
        <f t="shared" si="1"/>
        <v>36213.940249166597</v>
      </c>
      <c r="H20" s="71">
        <f t="shared" si="2"/>
        <v>35155.850009909598</v>
      </c>
      <c r="I20" s="64">
        <f t="shared" si="3"/>
        <v>2861959.3699234184</v>
      </c>
    </row>
    <row r="21" spans="2:10" x14ac:dyDescent="0.25">
      <c r="B21" s="10">
        <f t="shared" si="4"/>
        <v>5</v>
      </c>
      <c r="C21" s="52">
        <f t="shared" si="5"/>
        <v>45566</v>
      </c>
      <c r="D21" s="52">
        <f t="shared" si="0"/>
        <v>45596</v>
      </c>
      <c r="E21" s="71">
        <f t="shared" si="6"/>
        <v>2861959.3699234184</v>
      </c>
      <c r="F21" s="71">
        <f t="shared" si="7"/>
        <v>71369.790259076195</v>
      </c>
      <c r="G21" s="71">
        <f t="shared" si="1"/>
        <v>35774.492124042728</v>
      </c>
      <c r="H21" s="71">
        <f t="shared" si="2"/>
        <v>35595.298135033467</v>
      </c>
      <c r="I21" s="64">
        <f t="shared" si="3"/>
        <v>2826364.071788385</v>
      </c>
    </row>
    <row r="22" spans="2:10" x14ac:dyDescent="0.25">
      <c r="B22" s="10">
        <f t="shared" si="4"/>
        <v>6</v>
      </c>
      <c r="C22" s="52">
        <f t="shared" si="5"/>
        <v>45597</v>
      </c>
      <c r="D22" s="52">
        <f t="shared" ref="D22" si="8">EOMONTH(C22,0)</f>
        <v>45626</v>
      </c>
      <c r="E22" s="71">
        <f t="shared" si="6"/>
        <v>2826364.071788385</v>
      </c>
      <c r="F22" s="71">
        <f t="shared" si="7"/>
        <v>71369.790259076195</v>
      </c>
      <c r="G22" s="71">
        <f t="shared" si="1"/>
        <v>35329.550897354813</v>
      </c>
      <c r="H22" s="71">
        <f t="shared" si="2"/>
        <v>36040.239361721382</v>
      </c>
      <c r="I22" s="64">
        <f t="shared" si="3"/>
        <v>2790323.8324266635</v>
      </c>
    </row>
    <row r="23" spans="2:10" x14ac:dyDescent="0.25">
      <c r="B23" s="311">
        <f t="shared" si="4"/>
        <v>7</v>
      </c>
      <c r="C23" s="173">
        <f t="shared" si="5"/>
        <v>45627</v>
      </c>
      <c r="D23" s="173">
        <f t="shared" ref="D23" si="9">EOMONTH(C23,0)</f>
        <v>45657</v>
      </c>
      <c r="E23" s="174">
        <f t="shared" si="6"/>
        <v>2790323.8324266635</v>
      </c>
      <c r="F23" s="174">
        <f t="shared" si="7"/>
        <v>71369.790259076195</v>
      </c>
      <c r="G23" s="174">
        <f t="shared" si="1"/>
        <v>34879.047905333289</v>
      </c>
      <c r="H23" s="174">
        <f t="shared" si="2"/>
        <v>36490.742353742906</v>
      </c>
      <c r="I23" s="175">
        <f t="shared" si="3"/>
        <v>2753833.0900729205</v>
      </c>
    </row>
    <row r="24" spans="2:10" x14ac:dyDescent="0.25">
      <c r="B24" s="10">
        <f t="shared" si="4"/>
        <v>8</v>
      </c>
      <c r="C24" s="52"/>
      <c r="D24" s="52"/>
      <c r="E24" s="71">
        <f t="shared" si="6"/>
        <v>2753833.0900729205</v>
      </c>
      <c r="F24" s="71">
        <f t="shared" si="7"/>
        <v>71369.790259076195</v>
      </c>
      <c r="G24" s="71">
        <f t="shared" si="1"/>
        <v>34422.913625911504</v>
      </c>
      <c r="H24" s="71">
        <f t="shared" si="2"/>
        <v>36946.876633164691</v>
      </c>
      <c r="I24" s="64">
        <f t="shared" si="3"/>
        <v>2716886.2134397561</v>
      </c>
    </row>
    <row r="25" spans="2:10" outlineLevel="1" x14ac:dyDescent="0.25">
      <c r="B25" s="10">
        <f t="shared" si="4"/>
        <v>9</v>
      </c>
      <c r="C25" s="52"/>
      <c r="D25" s="52"/>
      <c r="E25" s="71">
        <f t="shared" si="6"/>
        <v>2716886.2134397561</v>
      </c>
      <c r="F25" s="71">
        <f t="shared" si="7"/>
        <v>71369.790259076195</v>
      </c>
      <c r="G25" s="71">
        <f t="shared" si="1"/>
        <v>33961.077667996949</v>
      </c>
      <c r="H25" s="71">
        <f t="shared" si="2"/>
        <v>37408.712591079246</v>
      </c>
      <c r="I25" s="64">
        <f t="shared" si="3"/>
        <v>2679477.500848677</v>
      </c>
    </row>
    <row r="26" spans="2:10" outlineLevel="1" x14ac:dyDescent="0.25">
      <c r="B26" s="10">
        <f t="shared" si="4"/>
        <v>10</v>
      </c>
      <c r="C26" s="52"/>
      <c r="D26" s="52"/>
      <c r="E26" s="71">
        <f t="shared" si="6"/>
        <v>2679477.500848677</v>
      </c>
      <c r="F26" s="71">
        <f t="shared" si="7"/>
        <v>71369.790259076195</v>
      </c>
      <c r="G26" s="71">
        <f t="shared" si="1"/>
        <v>33493.468760608463</v>
      </c>
      <c r="H26" s="71">
        <f t="shared" si="2"/>
        <v>37876.321498467732</v>
      </c>
      <c r="I26" s="64">
        <f t="shared" si="3"/>
        <v>2641601.1793502094</v>
      </c>
    </row>
    <row r="27" spans="2:10" outlineLevel="1" x14ac:dyDescent="0.25">
      <c r="B27" s="10">
        <f t="shared" si="4"/>
        <v>11</v>
      </c>
      <c r="C27" s="52"/>
      <c r="D27" s="52"/>
      <c r="E27" s="71">
        <f t="shared" si="6"/>
        <v>2641601.1793502094</v>
      </c>
      <c r="F27" s="71">
        <f t="shared" si="7"/>
        <v>71369.790259076195</v>
      </c>
      <c r="G27" s="71">
        <f t="shared" si="1"/>
        <v>33020.014741877618</v>
      </c>
      <c r="H27" s="71">
        <f t="shared" si="2"/>
        <v>38349.775517198577</v>
      </c>
      <c r="I27" s="64">
        <f t="shared" si="3"/>
        <v>2603251.4038330107</v>
      </c>
    </row>
    <row r="28" spans="2:10" outlineLevel="1" x14ac:dyDescent="0.25">
      <c r="B28" s="10">
        <f t="shared" si="4"/>
        <v>12</v>
      </c>
      <c r="C28" s="52"/>
      <c r="D28" s="52"/>
      <c r="E28" s="71">
        <f t="shared" si="6"/>
        <v>2603251.4038330107</v>
      </c>
      <c r="F28" s="71">
        <f t="shared" si="7"/>
        <v>71369.790259076195</v>
      </c>
      <c r="G28" s="71">
        <f t="shared" si="1"/>
        <v>32540.642547912634</v>
      </c>
      <c r="H28" s="71">
        <f t="shared" si="2"/>
        <v>38829.147711163561</v>
      </c>
      <c r="I28" s="64">
        <f t="shared" si="3"/>
        <v>2564422.2561218473</v>
      </c>
    </row>
    <row r="29" spans="2:10" outlineLevel="1" x14ac:dyDescent="0.25">
      <c r="B29" s="10">
        <f t="shared" si="4"/>
        <v>13</v>
      </c>
      <c r="C29" s="52"/>
      <c r="D29" s="52"/>
      <c r="E29" s="71">
        <f t="shared" si="6"/>
        <v>2564422.2561218473</v>
      </c>
      <c r="F29" s="71">
        <f t="shared" si="7"/>
        <v>71369.790259076195</v>
      </c>
      <c r="G29" s="71">
        <f t="shared" si="1"/>
        <v>32055.278201523091</v>
      </c>
      <c r="H29" s="71">
        <f t="shared" si="2"/>
        <v>39314.512057553104</v>
      </c>
      <c r="I29" s="64">
        <f t="shared" si="3"/>
        <v>2525107.7440642943</v>
      </c>
    </row>
    <row r="30" spans="2:10" outlineLevel="1" x14ac:dyDescent="0.25">
      <c r="B30" s="10">
        <f t="shared" si="4"/>
        <v>14</v>
      </c>
      <c r="C30" s="52"/>
      <c r="D30" s="52"/>
      <c r="E30" s="71">
        <f t="shared" si="6"/>
        <v>2525107.7440642943</v>
      </c>
      <c r="F30" s="71">
        <f t="shared" si="7"/>
        <v>71369.790259076195</v>
      </c>
      <c r="G30" s="71">
        <f t="shared" si="1"/>
        <v>31563.846800803676</v>
      </c>
      <c r="H30" s="71">
        <f t="shared" si="2"/>
        <v>39805.943458272523</v>
      </c>
      <c r="I30" s="64">
        <f t="shared" si="3"/>
        <v>2485301.8006060217</v>
      </c>
    </row>
    <row r="31" spans="2:10" outlineLevel="1" x14ac:dyDescent="0.25">
      <c r="B31" s="10">
        <f t="shared" si="4"/>
        <v>15</v>
      </c>
      <c r="C31" s="52"/>
      <c r="D31" s="52"/>
      <c r="E31" s="71">
        <f t="shared" si="6"/>
        <v>2485301.8006060217</v>
      </c>
      <c r="F31" s="71">
        <f t="shared" si="7"/>
        <v>71369.790259076195</v>
      </c>
      <c r="G31" s="71">
        <f t="shared" si="1"/>
        <v>31066.272507575268</v>
      </c>
      <c r="H31" s="71">
        <f t="shared" si="2"/>
        <v>40303.517751500927</v>
      </c>
      <c r="I31" s="64">
        <f t="shared" si="3"/>
        <v>2444998.2828545207</v>
      </c>
    </row>
    <row r="32" spans="2:10" outlineLevel="1" x14ac:dyDescent="0.25">
      <c r="B32" s="10">
        <f t="shared" si="4"/>
        <v>16</v>
      </c>
      <c r="C32" s="52"/>
      <c r="D32" s="52"/>
      <c r="E32" s="71">
        <f t="shared" si="6"/>
        <v>2444998.2828545207</v>
      </c>
      <c r="F32" s="71">
        <f t="shared" si="7"/>
        <v>71369.790259076195</v>
      </c>
      <c r="G32" s="71">
        <f t="shared" si="1"/>
        <v>30562.478535681508</v>
      </c>
      <c r="H32" s="71">
        <f t="shared" si="2"/>
        <v>40807.311723394683</v>
      </c>
      <c r="I32" s="64">
        <f t="shared" si="3"/>
        <v>2404190.9711311259</v>
      </c>
    </row>
    <row r="33" spans="2:9" outlineLevel="1" x14ac:dyDescent="0.25">
      <c r="B33" s="10">
        <f t="shared" si="4"/>
        <v>17</v>
      </c>
      <c r="C33" s="52"/>
      <c r="D33" s="52"/>
      <c r="E33" s="71">
        <f t="shared" si="6"/>
        <v>2404190.9711311259</v>
      </c>
      <c r="F33" s="71">
        <f t="shared" si="7"/>
        <v>71369.790259076195</v>
      </c>
      <c r="G33" s="71">
        <f t="shared" si="1"/>
        <v>30052.387139139071</v>
      </c>
      <c r="H33" s="71">
        <f t="shared" si="2"/>
        <v>41317.403119937124</v>
      </c>
      <c r="I33" s="64">
        <f t="shared" si="3"/>
        <v>2362873.5680111889</v>
      </c>
    </row>
    <row r="34" spans="2:9" outlineLevel="1" x14ac:dyDescent="0.25">
      <c r="B34" s="10">
        <f t="shared" si="4"/>
        <v>18</v>
      </c>
      <c r="C34" s="52"/>
      <c r="D34" s="52"/>
      <c r="E34" s="71">
        <f t="shared" si="6"/>
        <v>2362873.5680111889</v>
      </c>
      <c r="F34" s="71">
        <f t="shared" si="7"/>
        <v>71369.790259076195</v>
      </c>
      <c r="G34" s="71">
        <f t="shared" si="1"/>
        <v>29535.919600139863</v>
      </c>
      <c r="H34" s="71">
        <f t="shared" si="2"/>
        <v>41833.870658936328</v>
      </c>
      <c r="I34" s="64">
        <f t="shared" si="3"/>
        <v>2321039.6973522524</v>
      </c>
    </row>
    <row r="35" spans="2:9" outlineLevel="1" x14ac:dyDescent="0.25">
      <c r="B35" s="10">
        <f t="shared" si="4"/>
        <v>19</v>
      </c>
      <c r="C35" s="52"/>
      <c r="D35" s="52"/>
      <c r="E35" s="71">
        <f t="shared" si="6"/>
        <v>2321039.6973522524</v>
      </c>
      <c r="F35" s="71">
        <f t="shared" si="7"/>
        <v>71369.790259076195</v>
      </c>
      <c r="G35" s="71">
        <f t="shared" si="1"/>
        <v>29012.996216903153</v>
      </c>
      <c r="H35" s="71">
        <f t="shared" si="2"/>
        <v>42356.794042173045</v>
      </c>
      <c r="I35" s="64">
        <f t="shared" si="3"/>
        <v>2278682.9033100796</v>
      </c>
    </row>
    <row r="36" spans="2:9" outlineLevel="1" x14ac:dyDescent="0.25">
      <c r="B36" s="10">
        <f t="shared" si="4"/>
        <v>20</v>
      </c>
      <c r="C36" s="52"/>
      <c r="D36" s="52"/>
      <c r="E36" s="71">
        <f t="shared" si="6"/>
        <v>2278682.9033100796</v>
      </c>
      <c r="F36" s="71">
        <f t="shared" si="7"/>
        <v>71369.790259076195</v>
      </c>
      <c r="G36" s="71">
        <f t="shared" si="1"/>
        <v>28483.536291375993</v>
      </c>
      <c r="H36" s="71">
        <f t="shared" si="2"/>
        <v>42886.253967700206</v>
      </c>
      <c r="I36" s="64">
        <f t="shared" si="3"/>
        <v>2235796.6493423795</v>
      </c>
    </row>
    <row r="37" spans="2:9" outlineLevel="1" x14ac:dyDescent="0.25">
      <c r="B37" s="10">
        <f t="shared" si="4"/>
        <v>21</v>
      </c>
      <c r="C37" s="52"/>
      <c r="D37" s="52"/>
      <c r="E37" s="71">
        <f t="shared" si="6"/>
        <v>2235796.6493423795</v>
      </c>
      <c r="F37" s="71">
        <f t="shared" si="7"/>
        <v>71369.790259076195</v>
      </c>
      <c r="G37" s="71">
        <f t="shared" si="1"/>
        <v>27947.458116779744</v>
      </c>
      <c r="H37" s="71">
        <f t="shared" si="2"/>
        <v>43422.332142296451</v>
      </c>
      <c r="I37" s="64">
        <f t="shared" si="3"/>
        <v>2192374.3172000833</v>
      </c>
    </row>
    <row r="38" spans="2:9" outlineLevel="1" x14ac:dyDescent="0.25">
      <c r="B38" s="10">
        <f t="shared" si="4"/>
        <v>22</v>
      </c>
      <c r="C38" s="52"/>
      <c r="D38" s="52"/>
      <c r="E38" s="71">
        <f t="shared" si="6"/>
        <v>2192374.3172000833</v>
      </c>
      <c r="F38" s="71">
        <f t="shared" si="7"/>
        <v>71369.790259076195</v>
      </c>
      <c r="G38" s="71">
        <f t="shared" si="1"/>
        <v>27404.678965001043</v>
      </c>
      <c r="H38" s="71">
        <f t="shared" si="2"/>
        <v>43965.111294075148</v>
      </c>
      <c r="I38" s="64">
        <f t="shared" si="3"/>
        <v>2148409.2059060084</v>
      </c>
    </row>
    <row r="39" spans="2:9" outlineLevel="1" x14ac:dyDescent="0.25">
      <c r="B39" s="10">
        <f t="shared" si="4"/>
        <v>23</v>
      </c>
      <c r="C39" s="52"/>
      <c r="D39" s="52"/>
      <c r="E39" s="71">
        <f t="shared" si="6"/>
        <v>2148409.2059060084</v>
      </c>
      <c r="F39" s="71">
        <f t="shared" si="7"/>
        <v>71369.790259076195</v>
      </c>
      <c r="G39" s="71">
        <f t="shared" si="1"/>
        <v>26855.115073825102</v>
      </c>
      <c r="H39" s="71">
        <f t="shared" si="2"/>
        <v>44514.675185251093</v>
      </c>
      <c r="I39" s="64">
        <f t="shared" si="3"/>
        <v>2103894.5307207573</v>
      </c>
    </row>
    <row r="40" spans="2:9" outlineLevel="1" x14ac:dyDescent="0.25">
      <c r="B40" s="10">
        <f t="shared" si="4"/>
        <v>24</v>
      </c>
      <c r="C40" s="52"/>
      <c r="D40" s="52"/>
      <c r="E40" s="71">
        <f t="shared" si="6"/>
        <v>2103894.5307207573</v>
      </c>
      <c r="F40" s="71">
        <f t="shared" si="7"/>
        <v>71369.790259076195</v>
      </c>
      <c r="G40" s="71">
        <f t="shared" si="1"/>
        <v>26298.681634009467</v>
      </c>
      <c r="H40" s="71">
        <f t="shared" si="2"/>
        <v>45071.108625066729</v>
      </c>
      <c r="I40" s="64">
        <f t="shared" si="3"/>
        <v>2058823.4220956906</v>
      </c>
    </row>
    <row r="41" spans="2:9" outlineLevel="1" x14ac:dyDescent="0.25">
      <c r="B41" s="10">
        <f t="shared" si="4"/>
        <v>25</v>
      </c>
      <c r="C41" s="52"/>
      <c r="D41" s="52"/>
      <c r="E41" s="71">
        <f t="shared" si="6"/>
        <v>2058823.4220956906</v>
      </c>
      <c r="F41" s="71">
        <f t="shared" si="7"/>
        <v>71369.790259076195</v>
      </c>
      <c r="G41" s="71">
        <f t="shared" si="1"/>
        <v>25735.292776196133</v>
      </c>
      <c r="H41" s="71">
        <f t="shared" si="2"/>
        <v>45634.497482880062</v>
      </c>
      <c r="I41" s="64">
        <f t="shared" si="3"/>
        <v>2013188.9246128106</v>
      </c>
    </row>
    <row r="42" spans="2:9" outlineLevel="1" x14ac:dyDescent="0.25">
      <c r="B42" s="10">
        <f t="shared" si="4"/>
        <v>26</v>
      </c>
      <c r="C42" s="52"/>
      <c r="D42" s="52"/>
      <c r="E42" s="71">
        <f t="shared" si="6"/>
        <v>2013188.9246128106</v>
      </c>
      <c r="F42" s="71">
        <f t="shared" si="7"/>
        <v>71369.790259076195</v>
      </c>
      <c r="G42" s="71">
        <f t="shared" si="1"/>
        <v>25164.86155766013</v>
      </c>
      <c r="H42" s="71">
        <f t="shared" si="2"/>
        <v>46204.928701416065</v>
      </c>
      <c r="I42" s="64">
        <f t="shared" si="3"/>
        <v>1966983.9959113945</v>
      </c>
    </row>
    <row r="43" spans="2:9" outlineLevel="1" x14ac:dyDescent="0.25">
      <c r="B43" s="10">
        <f t="shared" si="4"/>
        <v>27</v>
      </c>
      <c r="C43" s="52"/>
      <c r="D43" s="52"/>
      <c r="E43" s="71">
        <f t="shared" si="6"/>
        <v>1966983.9959113945</v>
      </c>
      <c r="F43" s="71">
        <f t="shared" si="7"/>
        <v>71369.790259076195</v>
      </c>
      <c r="G43" s="71">
        <f t="shared" si="1"/>
        <v>24587.299948892429</v>
      </c>
      <c r="H43" s="71">
        <f t="shared" si="2"/>
        <v>46782.49031018377</v>
      </c>
      <c r="I43" s="64">
        <f t="shared" si="3"/>
        <v>1920201.5056012108</v>
      </c>
    </row>
    <row r="44" spans="2:9" outlineLevel="1" x14ac:dyDescent="0.25">
      <c r="B44" s="10">
        <f t="shared" si="4"/>
        <v>28</v>
      </c>
      <c r="C44" s="52"/>
      <c r="D44" s="52"/>
      <c r="E44" s="71">
        <f t="shared" si="6"/>
        <v>1920201.5056012108</v>
      </c>
      <c r="F44" s="71">
        <f t="shared" si="7"/>
        <v>71369.790259076195</v>
      </c>
      <c r="G44" s="71">
        <f t="shared" si="1"/>
        <v>24002.518820015131</v>
      </c>
      <c r="H44" s="71">
        <f t="shared" si="2"/>
        <v>47367.271439061064</v>
      </c>
      <c r="I44" s="64">
        <f t="shared" si="3"/>
        <v>1872834.2341621497</v>
      </c>
    </row>
    <row r="45" spans="2:9" outlineLevel="1" x14ac:dyDescent="0.25">
      <c r="B45" s="10">
        <f t="shared" si="4"/>
        <v>29</v>
      </c>
      <c r="C45" s="52"/>
      <c r="D45" s="52"/>
      <c r="E45" s="71">
        <f t="shared" si="6"/>
        <v>1872834.2341621497</v>
      </c>
      <c r="F45" s="71">
        <f t="shared" si="7"/>
        <v>71369.790259076195</v>
      </c>
      <c r="G45" s="71">
        <f t="shared" si="1"/>
        <v>23410.427927026871</v>
      </c>
      <c r="H45" s="71">
        <f t="shared" si="2"/>
        <v>47959.362332049321</v>
      </c>
      <c r="I45" s="64">
        <f t="shared" si="3"/>
        <v>1824874.8718301004</v>
      </c>
    </row>
    <row r="46" spans="2:9" outlineLevel="1" x14ac:dyDescent="0.25">
      <c r="B46" s="10">
        <f t="shared" si="4"/>
        <v>30</v>
      </c>
      <c r="C46" s="52"/>
      <c r="D46" s="52"/>
      <c r="E46" s="71">
        <f t="shared" si="6"/>
        <v>1824874.8718301004</v>
      </c>
      <c r="F46" s="71">
        <f t="shared" si="7"/>
        <v>71369.790259076195</v>
      </c>
      <c r="G46" s="71">
        <f t="shared" si="1"/>
        <v>22810.935897876258</v>
      </c>
      <c r="H46" s="71">
        <f t="shared" si="2"/>
        <v>48558.854361199934</v>
      </c>
      <c r="I46" s="64">
        <f t="shared" si="3"/>
        <v>1776316.0174689004</v>
      </c>
    </row>
    <row r="47" spans="2:9" outlineLevel="1" x14ac:dyDescent="0.25">
      <c r="B47" s="10">
        <f t="shared" si="4"/>
        <v>31</v>
      </c>
      <c r="C47" s="52"/>
      <c r="D47" s="52"/>
      <c r="E47" s="71">
        <f t="shared" si="6"/>
        <v>1776316.0174689004</v>
      </c>
      <c r="F47" s="71">
        <f t="shared" si="7"/>
        <v>71369.790259076195</v>
      </c>
      <c r="G47" s="71">
        <f t="shared" si="1"/>
        <v>22203.950218361253</v>
      </c>
      <c r="H47" s="71">
        <f t="shared" si="2"/>
        <v>49165.840040714946</v>
      </c>
      <c r="I47" s="64">
        <f t="shared" si="3"/>
        <v>1727150.1774281855</v>
      </c>
    </row>
    <row r="48" spans="2:9" outlineLevel="1" x14ac:dyDescent="0.25">
      <c r="B48" s="10">
        <f t="shared" si="4"/>
        <v>32</v>
      </c>
      <c r="C48" s="52"/>
      <c r="D48" s="52"/>
      <c r="E48" s="71">
        <f t="shared" si="6"/>
        <v>1727150.1774281855</v>
      </c>
      <c r="F48" s="71">
        <f t="shared" si="7"/>
        <v>71369.790259076195</v>
      </c>
      <c r="G48" s="71">
        <f t="shared" si="1"/>
        <v>21589.377217852318</v>
      </c>
      <c r="H48" s="71">
        <f t="shared" si="2"/>
        <v>49780.413041223874</v>
      </c>
      <c r="I48" s="64">
        <f t="shared" si="3"/>
        <v>1677369.7643869617</v>
      </c>
    </row>
    <row r="49" spans="2:9" outlineLevel="1" x14ac:dyDescent="0.25">
      <c r="B49" s="10">
        <f t="shared" si="4"/>
        <v>33</v>
      </c>
      <c r="C49" s="52"/>
      <c r="D49" s="52"/>
      <c r="E49" s="71">
        <f t="shared" si="6"/>
        <v>1677369.7643869617</v>
      </c>
      <c r="F49" s="71">
        <f t="shared" si="7"/>
        <v>71369.790259076195</v>
      </c>
      <c r="G49" s="71">
        <f t="shared" ref="G49:G52" si="10">+E49*$F$7/12</f>
        <v>20967.122054837022</v>
      </c>
      <c r="H49" s="71">
        <f t="shared" ref="H49:H52" si="11">+F49-G49</f>
        <v>50402.668204239177</v>
      </c>
      <c r="I49" s="64">
        <f t="shared" ref="I49:I52" si="12">+E49-H49</f>
        <v>1626967.0961827226</v>
      </c>
    </row>
    <row r="50" spans="2:9" outlineLevel="1" x14ac:dyDescent="0.25">
      <c r="B50" s="10">
        <f t="shared" ref="B50:B76" si="13">+B49+1</f>
        <v>34</v>
      </c>
      <c r="C50" s="52"/>
      <c r="D50" s="52"/>
      <c r="E50" s="71">
        <f t="shared" ref="E50:E52" si="14">+I49</f>
        <v>1626967.0961827226</v>
      </c>
      <c r="F50" s="71">
        <f t="shared" ref="F50:F76" si="15">+F49</f>
        <v>71369.790259076195</v>
      </c>
      <c r="G50" s="71">
        <f t="shared" si="10"/>
        <v>20337.088702284032</v>
      </c>
      <c r="H50" s="71">
        <f t="shared" si="11"/>
        <v>51032.701556792163</v>
      </c>
      <c r="I50" s="64">
        <f t="shared" si="12"/>
        <v>1575934.3946259303</v>
      </c>
    </row>
    <row r="51" spans="2:9" outlineLevel="1" collapsed="1" x14ac:dyDescent="0.25">
      <c r="B51" s="10">
        <f t="shared" si="13"/>
        <v>35</v>
      </c>
      <c r="C51" s="52"/>
      <c r="D51" s="52"/>
      <c r="E51" s="71">
        <f t="shared" si="14"/>
        <v>1575934.3946259303</v>
      </c>
      <c r="F51" s="71">
        <f t="shared" si="15"/>
        <v>71369.790259076195</v>
      </c>
      <c r="G51" s="71">
        <f t="shared" si="10"/>
        <v>19699.179932824129</v>
      </c>
      <c r="H51" s="71">
        <f t="shared" si="11"/>
        <v>51670.610326252063</v>
      </c>
      <c r="I51" s="64">
        <f t="shared" si="12"/>
        <v>1524263.7842996782</v>
      </c>
    </row>
    <row r="52" spans="2:9" outlineLevel="1" x14ac:dyDescent="0.25">
      <c r="B52" s="10">
        <f t="shared" si="13"/>
        <v>36</v>
      </c>
      <c r="C52" s="52"/>
      <c r="D52" s="52"/>
      <c r="E52" s="71">
        <f t="shared" si="14"/>
        <v>1524263.7842996782</v>
      </c>
      <c r="F52" s="71">
        <f t="shared" si="15"/>
        <v>71369.790259076195</v>
      </c>
      <c r="G52" s="71">
        <f t="shared" si="10"/>
        <v>19053.297303745978</v>
      </c>
      <c r="H52" s="71">
        <f t="shared" si="11"/>
        <v>52316.492955330221</v>
      </c>
      <c r="I52" s="64">
        <f t="shared" si="12"/>
        <v>1471947.2913443479</v>
      </c>
    </row>
    <row r="53" spans="2:9" outlineLevel="1" x14ac:dyDescent="0.25">
      <c r="B53" s="10">
        <f t="shared" si="13"/>
        <v>37</v>
      </c>
      <c r="C53" s="52"/>
      <c r="D53" s="52"/>
      <c r="E53" s="71">
        <f t="shared" ref="E53:E76" si="16">+I52</f>
        <v>1471947.2913443479</v>
      </c>
      <c r="F53" s="71">
        <f t="shared" si="15"/>
        <v>71369.790259076195</v>
      </c>
      <c r="G53" s="71">
        <f t="shared" ref="G53:G76" si="17">+E53*$F$7/12</f>
        <v>18399.341141804347</v>
      </c>
      <c r="H53" s="71">
        <f t="shared" ref="H53:H76" si="18">+F53-G53</f>
        <v>52970.449117271848</v>
      </c>
      <c r="I53" s="64">
        <f t="shared" ref="I53:I76" si="19">+E53-H53</f>
        <v>1418976.8422270759</v>
      </c>
    </row>
    <row r="54" spans="2:9" outlineLevel="1" x14ac:dyDescent="0.25">
      <c r="B54" s="10">
        <f t="shared" si="13"/>
        <v>38</v>
      </c>
      <c r="C54" s="52"/>
      <c r="D54" s="52"/>
      <c r="E54" s="71">
        <f t="shared" si="16"/>
        <v>1418976.8422270759</v>
      </c>
      <c r="F54" s="71">
        <f t="shared" si="15"/>
        <v>71369.790259076195</v>
      </c>
      <c r="G54" s="71">
        <f t="shared" si="17"/>
        <v>17737.210527838448</v>
      </c>
      <c r="H54" s="71">
        <f t="shared" si="18"/>
        <v>53632.579731237747</v>
      </c>
      <c r="I54" s="64">
        <f t="shared" si="19"/>
        <v>1365344.2624958381</v>
      </c>
    </row>
    <row r="55" spans="2:9" outlineLevel="1" x14ac:dyDescent="0.25">
      <c r="B55" s="10">
        <f t="shared" si="13"/>
        <v>39</v>
      </c>
      <c r="C55" s="52"/>
      <c r="D55" s="52"/>
      <c r="E55" s="71">
        <f t="shared" si="16"/>
        <v>1365344.2624958381</v>
      </c>
      <c r="F55" s="71">
        <f t="shared" si="15"/>
        <v>71369.790259076195</v>
      </c>
      <c r="G55" s="71">
        <f t="shared" si="17"/>
        <v>17066.803281197976</v>
      </c>
      <c r="H55" s="71">
        <f t="shared" si="18"/>
        <v>54302.986977878216</v>
      </c>
      <c r="I55" s="64">
        <f t="shared" si="19"/>
        <v>1311041.2755179598</v>
      </c>
    </row>
    <row r="56" spans="2:9" outlineLevel="1" x14ac:dyDescent="0.25">
      <c r="B56" s="10">
        <f t="shared" si="13"/>
        <v>40</v>
      </c>
      <c r="C56" s="52"/>
      <c r="D56" s="52"/>
      <c r="E56" s="71">
        <f t="shared" si="16"/>
        <v>1311041.2755179598</v>
      </c>
      <c r="F56" s="71">
        <f t="shared" si="15"/>
        <v>71369.790259076195</v>
      </c>
      <c r="G56" s="71">
        <f t="shared" si="17"/>
        <v>16388.015943974497</v>
      </c>
      <c r="H56" s="71">
        <f t="shared" si="18"/>
        <v>54981.774315101698</v>
      </c>
      <c r="I56" s="64">
        <f t="shared" si="19"/>
        <v>1256059.5012028581</v>
      </c>
    </row>
    <row r="57" spans="2:9" outlineLevel="1" x14ac:dyDescent="0.25">
      <c r="B57" s="10">
        <f t="shared" si="13"/>
        <v>41</v>
      </c>
      <c r="C57" s="52"/>
      <c r="D57" s="52"/>
      <c r="E57" s="71">
        <f t="shared" si="16"/>
        <v>1256059.5012028581</v>
      </c>
      <c r="F57" s="71">
        <f t="shared" si="15"/>
        <v>71369.790259076195</v>
      </c>
      <c r="G57" s="71">
        <f t="shared" si="17"/>
        <v>15700.743765035724</v>
      </c>
      <c r="H57" s="71">
        <f t="shared" si="18"/>
        <v>55669.046494040471</v>
      </c>
      <c r="I57" s="64">
        <f t="shared" si="19"/>
        <v>1200390.4547088176</v>
      </c>
    </row>
    <row r="58" spans="2:9" outlineLevel="1" x14ac:dyDescent="0.25">
      <c r="B58" s="10">
        <f t="shared" si="13"/>
        <v>42</v>
      </c>
      <c r="C58" s="52"/>
      <c r="D58" s="52"/>
      <c r="E58" s="71">
        <f t="shared" si="16"/>
        <v>1200390.4547088176</v>
      </c>
      <c r="F58" s="71">
        <f t="shared" si="15"/>
        <v>71369.790259076195</v>
      </c>
      <c r="G58" s="71">
        <f t="shared" si="17"/>
        <v>15004.88068386022</v>
      </c>
      <c r="H58" s="71">
        <f t="shared" si="18"/>
        <v>56364.909575215977</v>
      </c>
      <c r="I58" s="64">
        <f t="shared" si="19"/>
        <v>1144025.5451336016</v>
      </c>
    </row>
    <row r="59" spans="2:9" outlineLevel="1" x14ac:dyDescent="0.25">
      <c r="B59" s="10">
        <f t="shared" si="13"/>
        <v>43</v>
      </c>
      <c r="C59" s="52"/>
      <c r="D59" s="52"/>
      <c r="E59" s="71">
        <f t="shared" si="16"/>
        <v>1144025.5451336016</v>
      </c>
      <c r="F59" s="71">
        <f t="shared" si="15"/>
        <v>71369.790259076195</v>
      </c>
      <c r="G59" s="71">
        <f t="shared" si="17"/>
        <v>14300.319314170019</v>
      </c>
      <c r="H59" s="71">
        <f t="shared" si="18"/>
        <v>57069.470944906177</v>
      </c>
      <c r="I59" s="64">
        <f t="shared" si="19"/>
        <v>1086956.0741886955</v>
      </c>
    </row>
    <row r="60" spans="2:9" outlineLevel="1" x14ac:dyDescent="0.25">
      <c r="B60" s="10">
        <f t="shared" si="13"/>
        <v>44</v>
      </c>
      <c r="C60" s="52"/>
      <c r="D60" s="52"/>
      <c r="E60" s="71">
        <f t="shared" si="16"/>
        <v>1086956.0741886955</v>
      </c>
      <c r="F60" s="71">
        <f t="shared" si="15"/>
        <v>71369.790259076195</v>
      </c>
      <c r="G60" s="71">
        <f t="shared" si="17"/>
        <v>13586.950927358694</v>
      </c>
      <c r="H60" s="71">
        <f t="shared" si="18"/>
        <v>57782.8393317175</v>
      </c>
      <c r="I60" s="64">
        <f t="shared" si="19"/>
        <v>1029173.2348569781</v>
      </c>
    </row>
    <row r="61" spans="2:9" outlineLevel="1" x14ac:dyDescent="0.25">
      <c r="B61" s="10">
        <f t="shared" si="13"/>
        <v>45</v>
      </c>
      <c r="C61" s="52"/>
      <c r="D61" s="52"/>
      <c r="E61" s="71">
        <f t="shared" si="16"/>
        <v>1029173.2348569781</v>
      </c>
      <c r="F61" s="71">
        <f t="shared" si="15"/>
        <v>71369.790259076195</v>
      </c>
      <c r="G61" s="71">
        <f t="shared" si="17"/>
        <v>12864.665435712224</v>
      </c>
      <c r="H61" s="71">
        <f t="shared" si="18"/>
        <v>58505.124823363971</v>
      </c>
      <c r="I61" s="64">
        <f t="shared" si="19"/>
        <v>970668.1100336141</v>
      </c>
    </row>
    <row r="62" spans="2:9" outlineLevel="1" x14ac:dyDescent="0.25">
      <c r="B62" s="10">
        <f t="shared" si="13"/>
        <v>46</v>
      </c>
      <c r="C62" s="52"/>
      <c r="D62" s="52"/>
      <c r="E62" s="71">
        <f t="shared" si="16"/>
        <v>970668.1100336141</v>
      </c>
      <c r="F62" s="71">
        <f t="shared" si="15"/>
        <v>71369.790259076195</v>
      </c>
      <c r="G62" s="71">
        <f t="shared" si="17"/>
        <v>12133.351375420176</v>
      </c>
      <c r="H62" s="71">
        <f t="shared" si="18"/>
        <v>59236.438883656017</v>
      </c>
      <c r="I62" s="64">
        <f t="shared" si="19"/>
        <v>911431.67114995804</v>
      </c>
    </row>
    <row r="63" spans="2:9" outlineLevel="1" x14ac:dyDescent="0.25">
      <c r="B63" s="10">
        <f t="shared" si="13"/>
        <v>47</v>
      </c>
      <c r="C63" s="52"/>
      <c r="D63" s="52"/>
      <c r="E63" s="71">
        <f t="shared" si="16"/>
        <v>911431.67114995804</v>
      </c>
      <c r="F63" s="71">
        <f t="shared" si="15"/>
        <v>71369.790259076195</v>
      </c>
      <c r="G63" s="71">
        <f t="shared" si="17"/>
        <v>11392.895889374477</v>
      </c>
      <c r="H63" s="71">
        <f t="shared" si="18"/>
        <v>59976.894369701717</v>
      </c>
      <c r="I63" s="64">
        <f t="shared" si="19"/>
        <v>851454.7767802563</v>
      </c>
    </row>
    <row r="64" spans="2:9" outlineLevel="1" x14ac:dyDescent="0.25">
      <c r="B64" s="10">
        <f t="shared" si="13"/>
        <v>48</v>
      </c>
      <c r="C64" s="52"/>
      <c r="D64" s="52"/>
      <c r="E64" s="71">
        <f t="shared" si="16"/>
        <v>851454.7767802563</v>
      </c>
      <c r="F64" s="71">
        <f t="shared" si="15"/>
        <v>71369.790259076195</v>
      </c>
      <c r="G64" s="71">
        <f t="shared" si="17"/>
        <v>10643.184709753203</v>
      </c>
      <c r="H64" s="71">
        <f t="shared" si="18"/>
        <v>60726.605549322994</v>
      </c>
      <c r="I64" s="64">
        <f t="shared" si="19"/>
        <v>790728.17123093328</v>
      </c>
    </row>
    <row r="65" spans="2:9" outlineLevel="1" x14ac:dyDescent="0.25">
      <c r="B65" s="10">
        <f t="shared" si="13"/>
        <v>49</v>
      </c>
      <c r="C65" s="52"/>
      <c r="D65" s="52"/>
      <c r="E65" s="71">
        <f t="shared" si="16"/>
        <v>790728.17123093328</v>
      </c>
      <c r="F65" s="71">
        <f t="shared" si="15"/>
        <v>71369.790259076195</v>
      </c>
      <c r="G65" s="71">
        <f t="shared" si="17"/>
        <v>9884.1021403866653</v>
      </c>
      <c r="H65" s="71">
        <f t="shared" si="18"/>
        <v>61485.688118689533</v>
      </c>
      <c r="I65" s="64">
        <f t="shared" si="19"/>
        <v>729242.4831122437</v>
      </c>
    </row>
    <row r="66" spans="2:9" outlineLevel="1" x14ac:dyDescent="0.25">
      <c r="B66" s="10">
        <f t="shared" si="13"/>
        <v>50</v>
      </c>
      <c r="C66" s="52"/>
      <c r="D66" s="52"/>
      <c r="E66" s="71">
        <f t="shared" si="16"/>
        <v>729242.4831122437</v>
      </c>
      <c r="F66" s="71">
        <f t="shared" si="15"/>
        <v>71369.790259076195</v>
      </c>
      <c r="G66" s="71">
        <f t="shared" si="17"/>
        <v>9115.5310389030456</v>
      </c>
      <c r="H66" s="71">
        <f t="shared" si="18"/>
        <v>62254.259220173146</v>
      </c>
      <c r="I66" s="64">
        <f t="shared" si="19"/>
        <v>666988.22389207059</v>
      </c>
    </row>
    <row r="67" spans="2:9" outlineLevel="1" x14ac:dyDescent="0.25">
      <c r="B67" s="10">
        <f t="shared" si="13"/>
        <v>51</v>
      </c>
      <c r="C67" s="52"/>
      <c r="D67" s="52"/>
      <c r="E67" s="71">
        <f t="shared" si="16"/>
        <v>666988.22389207059</v>
      </c>
      <c r="F67" s="71">
        <f t="shared" si="15"/>
        <v>71369.790259076195</v>
      </c>
      <c r="G67" s="71">
        <f t="shared" si="17"/>
        <v>8337.3527986508816</v>
      </c>
      <c r="H67" s="71">
        <f t="shared" si="18"/>
        <v>63032.43746042531</v>
      </c>
      <c r="I67" s="64">
        <f t="shared" si="19"/>
        <v>603955.78643164528</v>
      </c>
    </row>
    <row r="68" spans="2:9" outlineLevel="1" x14ac:dyDescent="0.25">
      <c r="B68" s="10">
        <f t="shared" si="13"/>
        <v>52</v>
      </c>
      <c r="C68" s="52"/>
      <c r="D68" s="52"/>
      <c r="E68" s="71">
        <f t="shared" si="16"/>
        <v>603955.78643164528</v>
      </c>
      <c r="F68" s="71">
        <f t="shared" si="15"/>
        <v>71369.790259076195</v>
      </c>
      <c r="G68" s="71">
        <f t="shared" si="17"/>
        <v>7549.4473303955665</v>
      </c>
      <c r="H68" s="71">
        <f t="shared" si="18"/>
        <v>63820.342928680628</v>
      </c>
      <c r="I68" s="64">
        <f t="shared" si="19"/>
        <v>540135.44350296468</v>
      </c>
    </row>
    <row r="69" spans="2:9" outlineLevel="1" x14ac:dyDescent="0.25">
      <c r="B69" s="10">
        <f t="shared" si="13"/>
        <v>53</v>
      </c>
      <c r="C69" s="52"/>
      <c r="D69" s="52"/>
      <c r="E69" s="71">
        <f t="shared" si="16"/>
        <v>540135.44350296468</v>
      </c>
      <c r="F69" s="71">
        <f t="shared" si="15"/>
        <v>71369.790259076195</v>
      </c>
      <c r="G69" s="71">
        <f t="shared" si="17"/>
        <v>6751.6930437870578</v>
      </c>
      <c r="H69" s="71">
        <f t="shared" si="18"/>
        <v>64618.097215289134</v>
      </c>
      <c r="I69" s="64">
        <f t="shared" si="19"/>
        <v>475517.34628767555</v>
      </c>
    </row>
    <row r="70" spans="2:9" outlineLevel="1" x14ac:dyDescent="0.25">
      <c r="B70" s="10">
        <f t="shared" si="13"/>
        <v>54</v>
      </c>
      <c r="C70" s="52"/>
      <c r="D70" s="52"/>
      <c r="E70" s="71">
        <f t="shared" si="16"/>
        <v>475517.34628767555</v>
      </c>
      <c r="F70" s="71">
        <f t="shared" si="15"/>
        <v>71369.790259076195</v>
      </c>
      <c r="G70" s="71">
        <f t="shared" si="17"/>
        <v>5943.9668285959442</v>
      </c>
      <c r="H70" s="71">
        <f t="shared" si="18"/>
        <v>65425.823430480254</v>
      </c>
      <c r="I70" s="64">
        <f t="shared" si="19"/>
        <v>410091.52285719529</v>
      </c>
    </row>
    <row r="71" spans="2:9" outlineLevel="1" x14ac:dyDescent="0.25">
      <c r="B71" s="10">
        <f t="shared" si="13"/>
        <v>55</v>
      </c>
      <c r="C71" s="52"/>
      <c r="D71" s="52"/>
      <c r="E71" s="71">
        <f t="shared" si="16"/>
        <v>410091.52285719529</v>
      </c>
      <c r="F71" s="71">
        <f t="shared" si="15"/>
        <v>71369.790259076195</v>
      </c>
      <c r="G71" s="71">
        <f t="shared" si="17"/>
        <v>5126.1440357149413</v>
      </c>
      <c r="H71" s="71">
        <f t="shared" si="18"/>
        <v>66243.646223361255</v>
      </c>
      <c r="I71" s="64">
        <f t="shared" si="19"/>
        <v>343847.87663383404</v>
      </c>
    </row>
    <row r="72" spans="2:9" outlineLevel="1" x14ac:dyDescent="0.25">
      <c r="B72" s="10">
        <f t="shared" si="13"/>
        <v>56</v>
      </c>
      <c r="C72" s="52"/>
      <c r="D72" s="52"/>
      <c r="E72" s="71">
        <f t="shared" si="16"/>
        <v>343847.87663383404</v>
      </c>
      <c r="F72" s="71">
        <f t="shared" si="15"/>
        <v>71369.790259076195</v>
      </c>
      <c r="G72" s="71">
        <f t="shared" si="17"/>
        <v>4298.0984579229253</v>
      </c>
      <c r="H72" s="71">
        <f t="shared" si="18"/>
        <v>67071.691801153269</v>
      </c>
      <c r="I72" s="64">
        <f t="shared" si="19"/>
        <v>276776.18483268074</v>
      </c>
    </row>
    <row r="73" spans="2:9" outlineLevel="1" x14ac:dyDescent="0.25">
      <c r="B73" s="10">
        <f t="shared" si="13"/>
        <v>57</v>
      </c>
      <c r="C73" s="52"/>
      <c r="D73" s="52"/>
      <c r="E73" s="71">
        <f t="shared" si="16"/>
        <v>276776.18483268074</v>
      </c>
      <c r="F73" s="71">
        <f t="shared" si="15"/>
        <v>71369.790259076195</v>
      </c>
      <c r="G73" s="71">
        <f t="shared" si="17"/>
        <v>3459.7023104085092</v>
      </c>
      <c r="H73" s="71">
        <f t="shared" si="18"/>
        <v>67910.087948667686</v>
      </c>
      <c r="I73" s="64">
        <f t="shared" si="19"/>
        <v>208866.09688401304</v>
      </c>
    </row>
    <row r="74" spans="2:9" outlineLevel="1" x14ac:dyDescent="0.25">
      <c r="B74" s="10">
        <f t="shared" si="13"/>
        <v>58</v>
      </c>
      <c r="C74" s="52"/>
      <c r="D74" s="52"/>
      <c r="E74" s="71">
        <f t="shared" si="16"/>
        <v>208866.09688401304</v>
      </c>
      <c r="F74" s="71">
        <f t="shared" si="15"/>
        <v>71369.790259076195</v>
      </c>
      <c r="G74" s="71">
        <f t="shared" si="17"/>
        <v>2610.8262110501628</v>
      </c>
      <c r="H74" s="71">
        <f t="shared" si="18"/>
        <v>68758.964048026028</v>
      </c>
      <c r="I74" s="64">
        <f t="shared" si="19"/>
        <v>140107.13283598702</v>
      </c>
    </row>
    <row r="75" spans="2:9" x14ac:dyDescent="0.25">
      <c r="B75" s="10">
        <f t="shared" si="13"/>
        <v>59</v>
      </c>
      <c r="C75" s="52"/>
      <c r="D75" s="52"/>
      <c r="E75" s="71">
        <f t="shared" si="16"/>
        <v>140107.13283598702</v>
      </c>
      <c r="F75" s="71">
        <f t="shared" si="15"/>
        <v>71369.790259076195</v>
      </c>
      <c r="G75" s="71">
        <f t="shared" si="17"/>
        <v>1751.3391604498377</v>
      </c>
      <c r="H75" s="71">
        <f t="shared" si="18"/>
        <v>69618.451098626363</v>
      </c>
      <c r="I75" s="64">
        <f t="shared" si="19"/>
        <v>70488.681737360661</v>
      </c>
    </row>
    <row r="76" spans="2:9" x14ac:dyDescent="0.25">
      <c r="B76" s="10">
        <f t="shared" si="13"/>
        <v>60</v>
      </c>
      <c r="C76" s="52"/>
      <c r="D76" s="52"/>
      <c r="E76" s="71">
        <f t="shared" si="16"/>
        <v>70488.681737360661</v>
      </c>
      <c r="F76" s="71">
        <f t="shared" si="15"/>
        <v>71369.790259076195</v>
      </c>
      <c r="G76" s="71">
        <f t="shared" si="17"/>
        <v>881.10852171700833</v>
      </c>
      <c r="H76" s="71">
        <f t="shared" si="18"/>
        <v>70488.681737359191</v>
      </c>
      <c r="I76" s="64">
        <f t="shared" si="19"/>
        <v>1.469743438065052E-9</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F7D17-8A8B-42BA-91BF-62910D2DBA1D}">
  <sheetPr>
    <tabColor theme="7" tint="0.79998168889431442"/>
    <pageSetUpPr fitToPage="1"/>
  </sheetPr>
  <dimension ref="C2:I29"/>
  <sheetViews>
    <sheetView showGridLines="0" zoomScale="85" zoomScaleNormal="85" zoomScaleSheetLayoutView="100" workbookViewId="0">
      <selection activeCell="M5" sqref="M5"/>
    </sheetView>
  </sheetViews>
  <sheetFormatPr defaultRowHeight="15.75" x14ac:dyDescent="0.25"/>
  <cols>
    <col min="1" max="2" width="2.85546875" style="10" customWidth="1"/>
    <col min="3" max="3" width="12.140625" style="10" customWidth="1"/>
    <col min="4" max="4" width="34.28515625" style="11" bestFit="1" customWidth="1"/>
    <col min="5" max="5" width="27.5703125" style="10" bestFit="1" customWidth="1"/>
    <col min="6" max="6" width="3" style="12" customWidth="1"/>
    <col min="7" max="7" width="26.140625" style="13" bestFit="1" customWidth="1"/>
    <col min="8" max="8" width="19.28515625" style="10" bestFit="1" customWidth="1"/>
    <col min="9" max="9" width="15" style="10" customWidth="1"/>
    <col min="10" max="10" width="3.7109375" style="10" customWidth="1"/>
    <col min="11" max="16384" width="9.140625" style="10"/>
  </cols>
  <sheetData>
    <row r="2" spans="3:9" ht="16.5" thickBot="1" x14ac:dyDescent="0.3"/>
    <row r="3" spans="3:9" x14ac:dyDescent="0.25">
      <c r="C3" s="14"/>
      <c r="D3" s="15"/>
      <c r="E3" s="16"/>
      <c r="F3" s="17"/>
      <c r="G3" s="18"/>
      <c r="H3" s="16"/>
      <c r="I3" s="19"/>
    </row>
    <row r="4" spans="3:9" ht="15.75" customHeight="1" x14ac:dyDescent="0.25">
      <c r="C4" s="20"/>
      <c r="E4" s="562" t="str">
        <f>+'Business Plan'!D21</f>
        <v>Good Practices Fund I, L.P.</v>
      </c>
      <c r="F4" s="562"/>
      <c r="G4" s="562"/>
      <c r="I4" s="21"/>
    </row>
    <row r="5" spans="3:9" x14ac:dyDescent="0.25">
      <c r="C5" s="20"/>
      <c r="E5" s="562" t="s">
        <v>138</v>
      </c>
      <c r="F5" s="562" t="s">
        <v>138</v>
      </c>
      <c r="G5" s="562"/>
      <c r="I5" s="21"/>
    </row>
    <row r="6" spans="3:9" x14ac:dyDescent="0.25">
      <c r="C6" s="20"/>
      <c r="E6" s="22">
        <v>45292</v>
      </c>
      <c r="F6" s="12" t="s">
        <v>0</v>
      </c>
      <c r="G6" s="22">
        <v>45657</v>
      </c>
      <c r="I6" s="21"/>
    </row>
    <row r="7" spans="3:9" x14ac:dyDescent="0.25">
      <c r="C7" s="20"/>
      <c r="I7" s="21"/>
    </row>
    <row r="8" spans="3:9" x14ac:dyDescent="0.25">
      <c r="C8" s="20"/>
      <c r="D8" s="10" t="s">
        <v>139</v>
      </c>
      <c r="E8" s="22">
        <f ca="1">TODAY()</f>
        <v>45800</v>
      </c>
      <c r="G8" s="10"/>
      <c r="I8" s="21"/>
    </row>
    <row r="9" spans="3:9" x14ac:dyDescent="0.25">
      <c r="C9" s="20"/>
      <c r="D9" s="10"/>
      <c r="E9" s="13"/>
      <c r="F9" s="23"/>
      <c r="I9" s="21"/>
    </row>
    <row r="10" spans="3:9" x14ac:dyDescent="0.25">
      <c r="C10" s="20"/>
      <c r="D10" s="10" t="s">
        <v>140</v>
      </c>
      <c r="I10" s="21"/>
    </row>
    <row r="11" spans="3:9" x14ac:dyDescent="0.25">
      <c r="C11" s="20"/>
      <c r="D11" s="10" t="s">
        <v>141</v>
      </c>
      <c r="G11" s="24"/>
      <c r="I11" s="21"/>
    </row>
    <row r="12" spans="3:9" x14ac:dyDescent="0.25">
      <c r="C12" s="20"/>
      <c r="D12" s="10" t="s">
        <v>142</v>
      </c>
      <c r="G12" s="24"/>
      <c r="I12" s="21"/>
    </row>
    <row r="13" spans="3:9" x14ac:dyDescent="0.25">
      <c r="C13" s="20"/>
      <c r="D13" s="10" t="s">
        <v>143</v>
      </c>
      <c r="G13" s="24"/>
      <c r="I13" s="21"/>
    </row>
    <row r="14" spans="3:9" x14ac:dyDescent="0.25">
      <c r="C14" s="20"/>
      <c r="I14" s="21"/>
    </row>
    <row r="15" spans="3:9" x14ac:dyDescent="0.25">
      <c r="C15" s="20"/>
      <c r="I15" s="21"/>
    </row>
    <row r="16" spans="3:9" x14ac:dyDescent="0.25">
      <c r="C16" s="20"/>
      <c r="D16" s="10" t="s">
        <v>144</v>
      </c>
      <c r="G16" s="24"/>
      <c r="I16" s="21"/>
    </row>
    <row r="17" spans="3:9" x14ac:dyDescent="0.25">
      <c r="C17" s="20"/>
      <c r="D17" s="10" t="s">
        <v>145</v>
      </c>
      <c r="G17" s="24"/>
      <c r="I17" s="21"/>
    </row>
    <row r="18" spans="3:9" x14ac:dyDescent="0.25">
      <c r="C18" s="20"/>
      <c r="D18" s="10" t="s">
        <v>142</v>
      </c>
      <c r="G18" s="24"/>
      <c r="I18" s="21"/>
    </row>
    <row r="19" spans="3:9" x14ac:dyDescent="0.25">
      <c r="C19" s="20"/>
      <c r="D19" s="10" t="s">
        <v>146</v>
      </c>
      <c r="G19" s="24"/>
      <c r="I19" s="21"/>
    </row>
    <row r="20" spans="3:9" x14ac:dyDescent="0.25">
      <c r="C20" s="20"/>
      <c r="D20" s="10" t="s">
        <v>147</v>
      </c>
      <c r="G20" s="24"/>
      <c r="I20" s="21"/>
    </row>
    <row r="21" spans="3:9" x14ac:dyDescent="0.25">
      <c r="C21" s="20"/>
      <c r="G21" s="10"/>
      <c r="I21" s="21"/>
    </row>
    <row r="22" spans="3:9" x14ac:dyDescent="0.25">
      <c r="C22" s="20"/>
      <c r="I22" s="21"/>
    </row>
    <row r="23" spans="3:9" x14ac:dyDescent="0.25">
      <c r="C23" s="20"/>
      <c r="I23" s="21"/>
    </row>
    <row r="24" spans="3:9" ht="16.5" thickBot="1" x14ac:dyDescent="0.3">
      <c r="C24" s="25"/>
      <c r="D24" s="26"/>
      <c r="E24" s="27"/>
      <c r="F24" s="28"/>
      <c r="G24" s="29"/>
      <c r="H24" s="27"/>
      <c r="I24" s="30"/>
    </row>
    <row r="27" spans="3:9" ht="11.25" customHeight="1" x14ac:dyDescent="0.25">
      <c r="C27" s="31"/>
      <c r="D27" s="32"/>
      <c r="E27" s="33" t="s">
        <v>148</v>
      </c>
    </row>
    <row r="28" spans="3:9" ht="11.25" customHeight="1" x14ac:dyDescent="0.25">
      <c r="C28" s="31"/>
      <c r="D28" s="32"/>
      <c r="E28" s="33" t="s">
        <v>149</v>
      </c>
    </row>
    <row r="29" spans="3:9" ht="11.25" customHeight="1" x14ac:dyDescent="0.25">
      <c r="E29" s="33" t="s">
        <v>150</v>
      </c>
    </row>
  </sheetData>
  <mergeCells count="2">
    <mergeCell ref="E4:G4"/>
    <mergeCell ref="E5:G5"/>
  </mergeCells>
  <pageMargins left="0.7" right="0.7" top="0.75" bottom="0.75" header="0.3" footer="0.3"/>
  <pageSetup paperSize="9" scale="68"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AB5B-1AF8-40F5-A70D-898A9E8E41CD}">
  <sheetPr>
    <tabColor theme="7" tint="0.79998168889431442"/>
  </sheetPr>
  <dimension ref="A1:M291"/>
  <sheetViews>
    <sheetView showGridLines="0" zoomScale="90" zoomScaleNormal="90" workbookViewId="0">
      <pane xSplit="4" ySplit="4" topLeftCell="E45" activePane="bottomRight" state="frozen"/>
      <selection sqref="A1:XFD1048576"/>
      <selection pane="topRight" sqref="A1:XFD1048576"/>
      <selection pane="bottomLeft" sqref="A1:XFD1048576"/>
      <selection pane="bottomRight" activeCell="I5" sqref="I5"/>
    </sheetView>
  </sheetViews>
  <sheetFormatPr defaultRowHeight="15.75" outlineLevelRow="1" x14ac:dyDescent="0.25"/>
  <cols>
    <col min="1" max="1" width="5.140625" style="10" customWidth="1"/>
    <col min="2" max="2" width="15.140625" style="44" customWidth="1"/>
    <col min="3" max="3" width="15" style="44" bestFit="1" customWidth="1"/>
    <col min="4" max="4" width="17.140625" style="44" bestFit="1" customWidth="1"/>
    <col min="5" max="5" width="32.85546875" style="54" bestFit="1" customWidth="1"/>
    <col min="6" max="6" width="21" style="54" customWidth="1"/>
    <col min="7" max="8" width="15.5703125" style="96" bestFit="1" customWidth="1"/>
    <col min="9" max="9" width="50.5703125" style="10" bestFit="1" customWidth="1"/>
    <col min="10" max="10" width="9.42578125" style="10" customWidth="1"/>
    <col min="11" max="11" width="36.7109375" style="10" bestFit="1" customWidth="1"/>
    <col min="12" max="12" width="15.42578125" style="54" bestFit="1" customWidth="1"/>
    <col min="13" max="13" width="29.5703125" style="188" customWidth="1"/>
    <col min="14" max="16384" width="9.140625" style="10"/>
  </cols>
  <sheetData>
    <row r="1" spans="1:13" s="31" customFormat="1" ht="11.25" customHeight="1" x14ac:dyDescent="0.25">
      <c r="A1" s="36"/>
      <c r="B1" s="36"/>
      <c r="C1" s="37"/>
      <c r="D1" s="37"/>
      <c r="E1" s="35"/>
      <c r="F1" s="35"/>
      <c r="G1" s="39"/>
      <c r="H1" s="39"/>
      <c r="L1" s="35"/>
      <c r="M1" s="435"/>
    </row>
    <row r="2" spans="1:13" x14ac:dyDescent="0.25">
      <c r="G2" s="96">
        <f>+SUM(G5:G291)</f>
        <v>70445717.863552272</v>
      </c>
      <c r="H2" s="96">
        <f>+SUM(H5:H291)</f>
        <v>70445717.863552183</v>
      </c>
      <c r="I2" s="101">
        <f>+H2-G2</f>
        <v>0</v>
      </c>
      <c r="J2" s="42"/>
      <c r="L2" s="322">
        <f>+SUM(L5:L291)</f>
        <v>0</v>
      </c>
    </row>
    <row r="4" spans="1:13" s="104" customFormat="1" ht="30" customHeight="1" x14ac:dyDescent="0.25">
      <c r="A4" s="102"/>
      <c r="B4" s="102" t="s">
        <v>76</v>
      </c>
      <c r="C4" s="102" t="s">
        <v>116</v>
      </c>
      <c r="D4" s="102" t="s">
        <v>117</v>
      </c>
      <c r="E4" s="563" t="s">
        <v>72</v>
      </c>
      <c r="F4" s="564"/>
      <c r="G4" s="103" t="s">
        <v>73</v>
      </c>
      <c r="H4" s="103" t="s">
        <v>74</v>
      </c>
      <c r="I4" s="102" t="s">
        <v>37</v>
      </c>
      <c r="J4" s="314"/>
      <c r="K4" s="103" t="str">
        <f>+E4</f>
        <v>Account</v>
      </c>
      <c r="L4" s="102" t="s">
        <v>200</v>
      </c>
      <c r="M4" s="482" t="s">
        <v>422</v>
      </c>
    </row>
    <row r="5" spans="1:13" ht="14.25" customHeight="1" x14ac:dyDescent="0.25">
      <c r="B5" s="40">
        <f>+[1]JEs!B4</f>
        <v>45292</v>
      </c>
      <c r="C5" s="40">
        <f t="shared" ref="C5" si="0">EOMONTH(B5,0)</f>
        <v>45322</v>
      </c>
      <c r="D5" s="40">
        <f t="shared" ref="D5" si="1">EOMONTH(B5,CEILING(MONTH(B5),3)-MONTH(B5))</f>
        <v>45382</v>
      </c>
      <c r="E5" s="43" t="str">
        <f>IF([1]JEs!D4=0,"",[1]JEs!D4)</f>
        <v>Capital Contributions receivable</v>
      </c>
      <c r="F5" s="43" t="str">
        <f>IF([1]JEs!E4=0,"",[1]JEs!E4)</f>
        <v/>
      </c>
      <c r="G5" s="43">
        <f>IF([1]JEs!F4=0,"",[1]JEs!F4)</f>
        <v>1000000</v>
      </c>
      <c r="H5" s="43" t="str">
        <f>IF([1]JEs!G4=0,"",[1]JEs!G4)</f>
        <v/>
      </c>
      <c r="I5" s="43" t="str">
        <f>IF([1]JEs!H4=0,"",[1]JEs!H4)</f>
        <v>Record capital contributions receivable</v>
      </c>
      <c r="J5" s="43"/>
      <c r="K5" s="10" t="str">
        <f>TRIM(E5&amp;F5)</f>
        <v>Capital Contributions receivable</v>
      </c>
      <c r="L5" s="96">
        <f>IF(G5="",-H5,G5)</f>
        <v>1000000</v>
      </c>
      <c r="M5" s="10" t="str">
        <f>VLOOKUP(K5,'Chart of Accounts'!$C:$D,2,0)</f>
        <v>Receivables</v>
      </c>
    </row>
    <row r="6" spans="1:13" ht="14.25" customHeight="1" x14ac:dyDescent="0.25">
      <c r="B6" s="40">
        <f>+[1]JEs!B5</f>
        <v>45292</v>
      </c>
      <c r="C6" s="40">
        <f t="shared" ref="C6:C69" si="2">EOMONTH(B6,0)</f>
        <v>45322</v>
      </c>
      <c r="D6" s="40">
        <f t="shared" ref="D6:D69" si="3">EOMONTH(B6,CEILING(MONTH(B6),3)-MONTH(B6))</f>
        <v>45382</v>
      </c>
      <c r="E6" s="43" t="str">
        <f>IF([1]JEs!D5=0,"",[1]JEs!D5)</f>
        <v/>
      </c>
      <c r="F6" s="43" t="str">
        <f>IF([1]JEs!E5=0,"",[1]JEs!E5)</f>
        <v>Investor Contributions</v>
      </c>
      <c r="G6" s="43" t="str">
        <f>IF([1]JEs!F5=0,"",[1]JEs!F5)</f>
        <v/>
      </c>
      <c r="H6" s="43">
        <f>IF([1]JEs!G5=0,"",[1]JEs!G5)</f>
        <v>1000000</v>
      </c>
      <c r="I6" s="43" t="str">
        <f>IF([1]JEs!H5=0,"",[1]JEs!H5)</f>
        <v>Record investor contributions received</v>
      </c>
      <c r="J6" s="43"/>
      <c r="K6" s="10" t="str">
        <f t="shared" ref="K6:K69" si="4">TRIM(E6&amp;F6)</f>
        <v>Investor Contributions</v>
      </c>
      <c r="L6" s="96">
        <f t="shared" ref="L6:L69" si="5">IF(G6="",-H6,G6)</f>
        <v>-1000000</v>
      </c>
      <c r="M6" s="10" t="str">
        <f>VLOOKUP(K6,'Chart of Accounts'!$C:$D,2,0)</f>
        <v>Partners' Capital</v>
      </c>
    </row>
    <row r="7" spans="1:13" s="188" customFormat="1" ht="14.25" customHeight="1" x14ac:dyDescent="0.25">
      <c r="B7" s="483">
        <f>+[1]JEs!B6</f>
        <v>45306</v>
      </c>
      <c r="C7" s="483">
        <f t="shared" si="2"/>
        <v>45322</v>
      </c>
      <c r="D7" s="483">
        <f t="shared" si="3"/>
        <v>45382</v>
      </c>
      <c r="E7" s="484" t="str">
        <f>IF([1]JEs!D6=0,"",[1]JEs!D6)</f>
        <v>Cash and cash equivalents</v>
      </c>
      <c r="F7" s="484" t="str">
        <f>IF([1]JEs!E6=0,"",[1]JEs!E6)</f>
        <v/>
      </c>
      <c r="G7" s="484">
        <f>IF([1]JEs!F6=0,"",[1]JEs!F6)</f>
        <v>1000000</v>
      </c>
      <c r="H7" s="484" t="str">
        <f>IF([1]JEs!G6=0,"",[1]JEs!G6)</f>
        <v/>
      </c>
      <c r="I7" s="484" t="str">
        <f>IF([1]JEs!H6=0,"",[1]JEs!H6)</f>
        <v>Funds received from Capital Call 1</v>
      </c>
      <c r="J7" s="484"/>
      <c r="K7" s="188" t="str">
        <f t="shared" si="4"/>
        <v>Cash and cash equivalents</v>
      </c>
      <c r="L7" s="485">
        <f t="shared" si="5"/>
        <v>1000000</v>
      </c>
      <c r="M7" s="188" t="str">
        <f>VLOOKUP(K7,'Chart of Accounts'!$C:$D,2,0)</f>
        <v>Cash and equivalents</v>
      </c>
    </row>
    <row r="8" spans="1:13" s="188" customFormat="1" ht="14.25" customHeight="1" x14ac:dyDescent="0.25">
      <c r="B8" s="483">
        <f>+[1]JEs!B7</f>
        <v>45306</v>
      </c>
      <c r="C8" s="483">
        <f t="shared" si="2"/>
        <v>45322</v>
      </c>
      <c r="D8" s="483">
        <f t="shared" si="3"/>
        <v>45382</v>
      </c>
      <c r="E8" s="484" t="str">
        <f>IF([1]JEs!D7=0,"",[1]JEs!D7)</f>
        <v/>
      </c>
      <c r="F8" s="484" t="str">
        <f>IF([1]JEs!E7=0,"",[1]JEs!E7)</f>
        <v>Capital Contributions receivable</v>
      </c>
      <c r="G8" s="484" t="str">
        <f>IF([1]JEs!F7=0,"",[1]JEs!F7)</f>
        <v/>
      </c>
      <c r="H8" s="484">
        <f>IF([1]JEs!G7=0,"",[1]JEs!G7)</f>
        <v>1000000</v>
      </c>
      <c r="I8" s="484" t="str">
        <f>IF([1]JEs!H7=0,"",[1]JEs!H7)</f>
        <v>Clear receivable upon funds receipt</v>
      </c>
      <c r="J8" s="484"/>
      <c r="K8" s="188" t="str">
        <f t="shared" si="4"/>
        <v>Capital Contributions receivable</v>
      </c>
      <c r="L8" s="485">
        <f t="shared" si="5"/>
        <v>-1000000</v>
      </c>
      <c r="M8" s="188" t="str">
        <f>VLOOKUP(K8,'Chart of Accounts'!$C:$D,2,0)</f>
        <v>Receivables</v>
      </c>
    </row>
    <row r="9" spans="1:13" ht="14.25" customHeight="1" outlineLevel="1" x14ac:dyDescent="0.25">
      <c r="B9" s="40">
        <f>+[1]JEs!B8</f>
        <v>45306</v>
      </c>
      <c r="C9" s="40">
        <f t="shared" si="2"/>
        <v>45322</v>
      </c>
      <c r="D9" s="40">
        <f t="shared" si="3"/>
        <v>45382</v>
      </c>
      <c r="E9" s="43" t="str">
        <f>IF([1]JEs!D8=0,"",[1]JEs!D8)</f>
        <v>Capital Contributions receivable</v>
      </c>
      <c r="F9" s="43" t="str">
        <f>IF([1]JEs!E8=0,"",[1]JEs!E8)</f>
        <v/>
      </c>
      <c r="G9" s="43">
        <f>IF([1]JEs!F8=0,"",[1]JEs!F8)</f>
        <v>4600000</v>
      </c>
      <c r="H9" s="43" t="str">
        <f>IF([1]JEs!G8=0,"",[1]JEs!G8)</f>
        <v/>
      </c>
      <c r="I9" s="43" t="str">
        <f>IF([1]JEs!H8=0,"",[1]JEs!H8)</f>
        <v>Record capital contributions receivable</v>
      </c>
      <c r="J9" s="43"/>
      <c r="K9" s="10" t="str">
        <f t="shared" si="4"/>
        <v>Capital Contributions receivable</v>
      </c>
      <c r="L9" s="96">
        <f t="shared" si="5"/>
        <v>4600000</v>
      </c>
      <c r="M9" s="10" t="str">
        <f>VLOOKUP(K9,'Chart of Accounts'!$C:$D,2,0)</f>
        <v>Receivables</v>
      </c>
    </row>
    <row r="10" spans="1:13" ht="14.25" customHeight="1" outlineLevel="1" x14ac:dyDescent="0.25">
      <c r="B10" s="40">
        <f>+[1]JEs!B9</f>
        <v>45306</v>
      </c>
      <c r="C10" s="40">
        <f t="shared" si="2"/>
        <v>45322</v>
      </c>
      <c r="D10" s="40">
        <f t="shared" si="3"/>
        <v>45382</v>
      </c>
      <c r="E10" s="43" t="str">
        <f>IF([1]JEs!D9=0,"",[1]JEs!D9)</f>
        <v/>
      </c>
      <c r="F10" s="43" t="str">
        <f>IF([1]JEs!E9=0,"",[1]JEs!E9)</f>
        <v>Investor Contributions</v>
      </c>
      <c r="G10" s="43" t="str">
        <f>IF([1]JEs!F9=0,"",[1]JEs!F9)</f>
        <v/>
      </c>
      <c r="H10" s="43">
        <f>IF([1]JEs!G9=0,"",[1]JEs!G9)</f>
        <v>4600000</v>
      </c>
      <c r="I10" s="43" t="str">
        <f>IF([1]JEs!H9=0,"",[1]JEs!H9)</f>
        <v>Record investor contributions received</v>
      </c>
      <c r="J10" s="43"/>
      <c r="K10" s="10" t="str">
        <f t="shared" si="4"/>
        <v>Investor Contributions</v>
      </c>
      <c r="L10" s="96">
        <f t="shared" si="5"/>
        <v>-4600000</v>
      </c>
      <c r="M10" s="10" t="str">
        <f>VLOOKUP(K10,'Chart of Accounts'!$C:$D,2,0)</f>
        <v>Partners' Capital</v>
      </c>
    </row>
    <row r="11" spans="1:13" ht="14.25" customHeight="1" outlineLevel="1" x14ac:dyDescent="0.25">
      <c r="B11" s="40">
        <f>+[1]JEs!B10</f>
        <v>45311</v>
      </c>
      <c r="C11" s="40">
        <f t="shared" si="2"/>
        <v>45322</v>
      </c>
      <c r="D11" s="40">
        <f t="shared" si="3"/>
        <v>45382</v>
      </c>
      <c r="E11" s="43" t="str">
        <f>IF([1]JEs!D10=0,"",[1]JEs!D10)</f>
        <v>Cash and cash equivalents</v>
      </c>
      <c r="F11" s="43" t="str">
        <f>IF([1]JEs!E10=0,"",[1]JEs!E10)</f>
        <v/>
      </c>
      <c r="G11" s="43">
        <f>IF([1]JEs!F10=0,"",[1]JEs!F10)</f>
        <v>4600000</v>
      </c>
      <c r="H11" s="43" t="str">
        <f>IF([1]JEs!G10=0,"",[1]JEs!G10)</f>
        <v/>
      </c>
      <c r="I11" s="43" t="str">
        <f>IF([1]JEs!H10=0,"",[1]JEs!H10)</f>
        <v>Funds received from Capital Call 2</v>
      </c>
      <c r="J11" s="43"/>
      <c r="K11" s="10" t="str">
        <f t="shared" si="4"/>
        <v>Cash and cash equivalents</v>
      </c>
      <c r="L11" s="96">
        <f t="shared" si="5"/>
        <v>4600000</v>
      </c>
      <c r="M11" s="188" t="str">
        <f>VLOOKUP(K11,'Chart of Accounts'!$C:$D,2,0)</f>
        <v>Cash and equivalents</v>
      </c>
    </row>
    <row r="12" spans="1:13" ht="14.25" customHeight="1" outlineLevel="1" x14ac:dyDescent="0.25">
      <c r="B12" s="40">
        <f>+[1]JEs!B11</f>
        <v>45311</v>
      </c>
      <c r="C12" s="40">
        <f t="shared" si="2"/>
        <v>45322</v>
      </c>
      <c r="D12" s="40">
        <f t="shared" si="3"/>
        <v>45382</v>
      </c>
      <c r="E12" s="43" t="str">
        <f>IF([1]JEs!D11=0,"",[1]JEs!D11)</f>
        <v/>
      </c>
      <c r="F12" s="43" t="str">
        <f>IF([1]JEs!E11=0,"",[1]JEs!E11)</f>
        <v>Capital Contributions receivable</v>
      </c>
      <c r="G12" s="43" t="str">
        <f>IF([1]JEs!F11=0,"",[1]JEs!F11)</f>
        <v/>
      </c>
      <c r="H12" s="43">
        <f>IF([1]JEs!G11=0,"",[1]JEs!G11)</f>
        <v>4600000</v>
      </c>
      <c r="I12" s="43" t="str">
        <f>IF([1]JEs!H11=0,"",[1]JEs!H11)</f>
        <v>Clear receivable upon funds receipt</v>
      </c>
      <c r="J12" s="43"/>
      <c r="K12" s="10" t="str">
        <f t="shared" si="4"/>
        <v>Capital Contributions receivable</v>
      </c>
      <c r="L12" s="96">
        <f t="shared" si="5"/>
        <v>-4600000</v>
      </c>
      <c r="M12" s="10" t="str">
        <f>VLOOKUP(K12,'Chart of Accounts'!$C:$D,2,0)</f>
        <v>Receivables</v>
      </c>
    </row>
    <row r="13" spans="1:13" ht="14.25" customHeight="1" outlineLevel="1" x14ac:dyDescent="0.25">
      <c r="B13" s="40">
        <f>+[1]JEs!B12</f>
        <v>45413</v>
      </c>
      <c r="C13" s="40">
        <f t="shared" si="2"/>
        <v>45443</v>
      </c>
      <c r="D13" s="40">
        <f t="shared" si="3"/>
        <v>45473</v>
      </c>
      <c r="E13" s="43" t="str">
        <f>IF([1]JEs!D12=0,"",[1]JEs!D12)</f>
        <v>Capital Contributions receivable</v>
      </c>
      <c r="F13" s="43" t="str">
        <f>IF([1]JEs!E12=0,"",[1]JEs!E12)</f>
        <v/>
      </c>
      <c r="G13" s="43">
        <f>IF([1]JEs!F12=0,"",[1]JEs!F12)</f>
        <v>9400000</v>
      </c>
      <c r="H13" s="43" t="str">
        <f>IF([1]JEs!G12=0,"",[1]JEs!G12)</f>
        <v/>
      </c>
      <c r="I13" s="43" t="str">
        <f>IF([1]JEs!H12=0,"",[1]JEs!H12)</f>
        <v>Record capital contributions receivable</v>
      </c>
      <c r="J13" s="43"/>
      <c r="K13" s="10" t="str">
        <f t="shared" si="4"/>
        <v>Capital Contributions receivable</v>
      </c>
      <c r="L13" s="96">
        <f t="shared" si="5"/>
        <v>9400000</v>
      </c>
      <c r="M13" s="10" t="str">
        <f>VLOOKUP(K13,'Chart of Accounts'!$C:$D,2,0)</f>
        <v>Receivables</v>
      </c>
    </row>
    <row r="14" spans="1:13" ht="14.25" customHeight="1" outlineLevel="1" x14ac:dyDescent="0.25">
      <c r="B14" s="40">
        <f>+[1]JEs!B13</f>
        <v>45413</v>
      </c>
      <c r="C14" s="40">
        <f t="shared" si="2"/>
        <v>45443</v>
      </c>
      <c r="D14" s="40">
        <f t="shared" si="3"/>
        <v>45473</v>
      </c>
      <c r="E14" s="43" t="str">
        <f>IF([1]JEs!D13=0,"",[1]JEs!D13)</f>
        <v/>
      </c>
      <c r="F14" s="43" t="str">
        <f>IF([1]JEs!E13=0,"",[1]JEs!E13)</f>
        <v>Investor Contributions</v>
      </c>
      <c r="G14" s="43" t="str">
        <f>IF([1]JEs!F13=0,"",[1]JEs!F13)</f>
        <v/>
      </c>
      <c r="H14" s="43">
        <f>IF([1]JEs!G13=0,"",[1]JEs!G13)</f>
        <v>9400000</v>
      </c>
      <c r="I14" s="43" t="str">
        <f>IF([1]JEs!H13=0,"",[1]JEs!H13)</f>
        <v>Record investor contributions received</v>
      </c>
      <c r="J14" s="43"/>
      <c r="K14" s="10" t="str">
        <f t="shared" si="4"/>
        <v>Investor Contributions</v>
      </c>
      <c r="L14" s="96">
        <f t="shared" si="5"/>
        <v>-9400000</v>
      </c>
      <c r="M14" s="10" t="str">
        <f>VLOOKUP(K14,'Chart of Accounts'!$C:$D,2,0)</f>
        <v>Partners' Capital</v>
      </c>
    </row>
    <row r="15" spans="1:13" ht="14.25" customHeight="1" outlineLevel="1" x14ac:dyDescent="0.25">
      <c r="B15" s="40">
        <f>+[1]JEs!B14</f>
        <v>45443</v>
      </c>
      <c r="C15" s="40">
        <f t="shared" si="2"/>
        <v>45443</v>
      </c>
      <c r="D15" s="40">
        <f t="shared" si="3"/>
        <v>45473</v>
      </c>
      <c r="E15" s="43" t="str">
        <f>IF([1]JEs!D14=0,"",[1]JEs!D14)</f>
        <v>Cash and cash equivalents</v>
      </c>
      <c r="F15" s="43" t="str">
        <f>IF([1]JEs!E14=0,"",[1]JEs!E14)</f>
        <v/>
      </c>
      <c r="G15" s="43">
        <f>IF([1]JEs!F14=0,"",[1]JEs!F14)</f>
        <v>9400000</v>
      </c>
      <c r="H15" s="43" t="str">
        <f>IF([1]JEs!G14=0,"",[1]JEs!G14)</f>
        <v/>
      </c>
      <c r="I15" s="43" t="str">
        <f>IF([1]JEs!H14=0,"",[1]JEs!H14)</f>
        <v>Funds received from Capital Call 3</v>
      </c>
      <c r="J15" s="43"/>
      <c r="K15" s="10" t="str">
        <f t="shared" si="4"/>
        <v>Cash and cash equivalents</v>
      </c>
      <c r="L15" s="96">
        <f t="shared" si="5"/>
        <v>9400000</v>
      </c>
      <c r="M15" s="188" t="str">
        <f>VLOOKUP(K15,'Chart of Accounts'!$C:$D,2,0)</f>
        <v>Cash and equivalents</v>
      </c>
    </row>
    <row r="16" spans="1:13" ht="14.25" customHeight="1" outlineLevel="1" x14ac:dyDescent="0.25">
      <c r="B16" s="40">
        <f>+[1]JEs!B15</f>
        <v>45443</v>
      </c>
      <c r="C16" s="40">
        <f t="shared" si="2"/>
        <v>45443</v>
      </c>
      <c r="D16" s="40">
        <f t="shared" si="3"/>
        <v>45473</v>
      </c>
      <c r="E16" s="43" t="str">
        <f>IF([1]JEs!D15=0,"",[1]JEs!D15)</f>
        <v/>
      </c>
      <c r="F16" s="43" t="str">
        <f>IF([1]JEs!E15=0,"",[1]JEs!E15)</f>
        <v>Capital Contributions receivable</v>
      </c>
      <c r="G16" s="43" t="str">
        <f>IF([1]JEs!F15=0,"",[1]JEs!F15)</f>
        <v/>
      </c>
      <c r="H16" s="43">
        <f>IF([1]JEs!G15=0,"",[1]JEs!G15)</f>
        <v>9400000</v>
      </c>
      <c r="I16" s="43" t="str">
        <f>IF([1]JEs!H15=0,"",[1]JEs!H15)</f>
        <v>Clear receivable upon funds receipt</v>
      </c>
      <c r="J16" s="43"/>
      <c r="K16" s="10" t="str">
        <f t="shared" si="4"/>
        <v>Capital Contributions receivable</v>
      </c>
      <c r="L16" s="96">
        <f t="shared" si="5"/>
        <v>-9400000</v>
      </c>
      <c r="M16" s="10" t="str">
        <f>VLOOKUP(K16,'Chart of Accounts'!$C:$D,2,0)</f>
        <v>Receivables</v>
      </c>
    </row>
    <row r="17" spans="2:13" ht="14.25" customHeight="1" outlineLevel="1" x14ac:dyDescent="0.25">
      <c r="B17" s="40">
        <f>+[1]JEs!B16</f>
        <v>45306</v>
      </c>
      <c r="C17" s="40">
        <f t="shared" si="2"/>
        <v>45322</v>
      </c>
      <c r="D17" s="40">
        <f t="shared" si="3"/>
        <v>45382</v>
      </c>
      <c r="E17" s="43" t="str">
        <f>IF([1]JEs!D16=0,"",[1]JEs!D16)</f>
        <v>Investments, at fair value</v>
      </c>
      <c r="F17" s="43" t="str">
        <f>IF([1]JEs!E16=0,"",[1]JEs!E16)</f>
        <v/>
      </c>
      <c r="G17" s="43">
        <f>IF([1]JEs!F16=0,"",[1]JEs!F16)</f>
        <v>800000</v>
      </c>
      <c r="H17" s="43" t="str">
        <f>IF([1]JEs!G16=0,"",[1]JEs!G16)</f>
        <v/>
      </c>
      <c r="I17" s="43" t="str">
        <f>IF([1]JEs!H16=0,"",[1]JEs!H16)</f>
        <v>Records the investment of $1,000,000 into the laundromat business at fair value.</v>
      </c>
      <c r="J17" s="43"/>
      <c r="K17" s="10" t="str">
        <f t="shared" si="4"/>
        <v>Investments, at fair value</v>
      </c>
      <c r="L17" s="96">
        <f t="shared" si="5"/>
        <v>800000</v>
      </c>
      <c r="M17" s="10" t="str">
        <f>VLOOKUP(K17,'Chart of Accounts'!$C:$D,2,0)</f>
        <v>Investments, at fair value</v>
      </c>
    </row>
    <row r="18" spans="2:13" ht="14.25" customHeight="1" outlineLevel="1" x14ac:dyDescent="0.25">
      <c r="B18" s="40">
        <f>+[1]JEs!B17</f>
        <v>45306</v>
      </c>
      <c r="C18" s="40">
        <f t="shared" si="2"/>
        <v>45322</v>
      </c>
      <c r="D18" s="40">
        <f t="shared" si="3"/>
        <v>45382</v>
      </c>
      <c r="E18" s="43" t="str">
        <f>IF([1]JEs!D17=0,"",[1]JEs!D17)</f>
        <v/>
      </c>
      <c r="F18" s="43" t="str">
        <f>IF([1]JEs!E17=0,"",[1]JEs!E17)</f>
        <v>Cash and cash equivalents</v>
      </c>
      <c r="G18" s="43" t="str">
        <f>IF([1]JEs!F17=0,"",[1]JEs!F17)</f>
        <v/>
      </c>
      <c r="H18" s="43">
        <f>IF([1]JEs!G17=0,"",[1]JEs!G17)</f>
        <v>800000</v>
      </c>
      <c r="I18" s="43" t="str">
        <f>IF([1]JEs!H17=0,"",[1]JEs!H17)</f>
        <v>Reflects the reduction in cash and cash equivalents as $1,000,000 is used to purchase the investment.</v>
      </c>
      <c r="J18" s="43"/>
      <c r="K18" s="10" t="str">
        <f t="shared" si="4"/>
        <v>Cash and cash equivalents</v>
      </c>
      <c r="L18" s="96">
        <f t="shared" si="5"/>
        <v>-800000</v>
      </c>
      <c r="M18" s="188" t="str">
        <f>VLOOKUP(K18,'Chart of Accounts'!$C:$D,2,0)</f>
        <v>Cash and equivalents</v>
      </c>
    </row>
    <row r="19" spans="2:13" ht="14.25" customHeight="1" outlineLevel="1" x14ac:dyDescent="0.25">
      <c r="B19" s="40">
        <f>+[1]JEs!B18</f>
        <v>45311</v>
      </c>
      <c r="C19" s="40">
        <f t="shared" si="2"/>
        <v>45322</v>
      </c>
      <c r="D19" s="40">
        <f t="shared" si="3"/>
        <v>45382</v>
      </c>
      <c r="E19" s="43" t="str">
        <f>IF([1]JEs!D18=0,"",[1]JEs!D18)</f>
        <v>Investments, at fair value</v>
      </c>
      <c r="F19" s="43" t="str">
        <f>IF([1]JEs!E18=0,"",[1]JEs!E18)</f>
        <v/>
      </c>
      <c r="G19" s="43">
        <f>IF([1]JEs!F18=0,"",[1]JEs!F18)</f>
        <v>4600000</v>
      </c>
      <c r="H19" s="43" t="str">
        <f>IF([1]JEs!G18=0,"",[1]JEs!G18)</f>
        <v/>
      </c>
      <c r="I19" s="43" t="str">
        <f>IF([1]JEs!H18=0,"",[1]JEs!H18)</f>
        <v>Records the investment of $4,600,000 into the AI Tech business at fair value.</v>
      </c>
      <c r="J19" s="43"/>
      <c r="K19" s="10" t="str">
        <f t="shared" si="4"/>
        <v>Investments, at fair value</v>
      </c>
      <c r="L19" s="96">
        <f t="shared" si="5"/>
        <v>4600000</v>
      </c>
      <c r="M19" s="10" t="str">
        <f>VLOOKUP(K19,'Chart of Accounts'!$C:$D,2,0)</f>
        <v>Investments, at fair value</v>
      </c>
    </row>
    <row r="20" spans="2:13" ht="14.25" customHeight="1" outlineLevel="1" x14ac:dyDescent="0.25">
      <c r="B20" s="40">
        <f>+[1]JEs!B19</f>
        <v>45311</v>
      </c>
      <c r="C20" s="40">
        <f t="shared" si="2"/>
        <v>45322</v>
      </c>
      <c r="D20" s="40">
        <f t="shared" si="3"/>
        <v>45382</v>
      </c>
      <c r="E20" s="43" t="str">
        <f>IF([1]JEs!D19=0,"",[1]JEs!D19)</f>
        <v/>
      </c>
      <c r="F20" s="43" t="str">
        <f>IF([1]JEs!E19=0,"",[1]JEs!E19)</f>
        <v>Cash and cash equivalents</v>
      </c>
      <c r="G20" s="43" t="str">
        <f>IF([1]JEs!F19=0,"",[1]JEs!F19)</f>
        <v/>
      </c>
      <c r="H20" s="43">
        <f>IF([1]JEs!G19=0,"",[1]JEs!G19)</f>
        <v>4600000</v>
      </c>
      <c r="I20" s="43" t="str">
        <f>IF([1]JEs!H19=0,"",[1]JEs!H19)</f>
        <v>Reflects the reduction in cash and cash equivalents as $4,600,000 is used to purchase the investment.</v>
      </c>
      <c r="J20" s="43"/>
      <c r="K20" s="10" t="str">
        <f t="shared" si="4"/>
        <v>Cash and cash equivalents</v>
      </c>
      <c r="L20" s="96">
        <f t="shared" si="5"/>
        <v>-4600000</v>
      </c>
      <c r="M20" s="188" t="str">
        <f>VLOOKUP(K20,'Chart of Accounts'!$C:$D,2,0)</f>
        <v>Cash and equivalents</v>
      </c>
    </row>
    <row r="21" spans="2:13" ht="14.25" customHeight="1" outlineLevel="1" x14ac:dyDescent="0.25">
      <c r="B21" s="40">
        <f>+[1]JEs!B20</f>
        <v>45413</v>
      </c>
      <c r="C21" s="40">
        <f t="shared" si="2"/>
        <v>45443</v>
      </c>
      <c r="D21" s="40">
        <f t="shared" si="3"/>
        <v>45473</v>
      </c>
      <c r="E21" s="43" t="str">
        <f>IF([1]JEs!D20=0,"",[1]JEs!D20)</f>
        <v>Investments, at fair value</v>
      </c>
      <c r="F21" s="43" t="str">
        <f>IF([1]JEs!E20=0,"",[1]JEs!E20)</f>
        <v/>
      </c>
      <c r="G21" s="43">
        <f>IF([1]JEs!F20=0,"",[1]JEs!F20)</f>
        <v>4000000</v>
      </c>
      <c r="H21" s="43" t="str">
        <f>IF([1]JEs!G20=0,"",[1]JEs!G20)</f>
        <v/>
      </c>
      <c r="I21" s="43" t="str">
        <f>IF([1]JEs!H20=0,"",[1]JEs!H20)</f>
        <v>Records the investment of $4,000,000 to purchase equity ownership in the E-commerce business.</v>
      </c>
      <c r="J21" s="43"/>
      <c r="K21" s="10" t="str">
        <f t="shared" si="4"/>
        <v>Investments, at fair value</v>
      </c>
      <c r="L21" s="96">
        <f t="shared" si="5"/>
        <v>4000000</v>
      </c>
      <c r="M21" s="10" t="str">
        <f>VLOOKUP(K21,'Chart of Accounts'!$C:$D,2,0)</f>
        <v>Investments, at fair value</v>
      </c>
    </row>
    <row r="22" spans="2:13" ht="14.25" customHeight="1" outlineLevel="1" x14ac:dyDescent="0.25">
      <c r="B22" s="40">
        <f>+[1]JEs!B21</f>
        <v>45413</v>
      </c>
      <c r="C22" s="40">
        <f t="shared" si="2"/>
        <v>45443</v>
      </c>
      <c r="D22" s="40">
        <f t="shared" si="3"/>
        <v>45473</v>
      </c>
      <c r="E22" s="43" t="str">
        <f>IF([1]JEs!D21=0,"",[1]JEs!D21)</f>
        <v/>
      </c>
      <c r="F22" s="43" t="str">
        <f>IF([1]JEs!E21=0,"",[1]JEs!E21)</f>
        <v>Cash and cash equivalents</v>
      </c>
      <c r="G22" s="43" t="str">
        <f>IF([1]JEs!F21=0,"",[1]JEs!F21)</f>
        <v/>
      </c>
      <c r="H22" s="43">
        <f>IF([1]JEs!G21=0,"",[1]JEs!G21)</f>
        <v>4000000</v>
      </c>
      <c r="I22" s="43" t="str">
        <f>IF([1]JEs!H21=0,"",[1]JEs!H21)</f>
        <v>Reflects the reduction in cash and cash equivalents as $4,000,000 is used to purchase the equity investment.</v>
      </c>
      <c r="J22" s="43"/>
      <c r="K22" s="10" t="str">
        <f t="shared" si="4"/>
        <v>Cash and cash equivalents</v>
      </c>
      <c r="L22" s="96">
        <f t="shared" si="5"/>
        <v>-4000000</v>
      </c>
      <c r="M22" s="188" t="str">
        <f>VLOOKUP(K22,'Chart of Accounts'!$C:$D,2,0)</f>
        <v>Cash and equivalents</v>
      </c>
    </row>
    <row r="23" spans="2:13" ht="14.25" customHeight="1" outlineLevel="1" x14ac:dyDescent="0.25">
      <c r="B23" s="40">
        <f>+[1]JEs!B22</f>
        <v>45413</v>
      </c>
      <c r="C23" s="40">
        <f t="shared" si="2"/>
        <v>45443</v>
      </c>
      <c r="D23" s="40">
        <f t="shared" si="3"/>
        <v>45473</v>
      </c>
      <c r="E23" s="43" t="str">
        <f>IF([1]JEs!D22=0,"",[1]JEs!D22)</f>
        <v>Loan/Notes receivable</v>
      </c>
      <c r="F23" s="43" t="str">
        <f>IF([1]JEs!E22=0,"",[1]JEs!E22)</f>
        <v/>
      </c>
      <c r="G23" s="43">
        <f>IF([1]JEs!F22=0,"",[1]JEs!F22)</f>
        <v>2000000</v>
      </c>
      <c r="H23" s="43" t="str">
        <f>IF([1]JEs!G22=0,"",[1]JEs!G22)</f>
        <v/>
      </c>
      <c r="I23" s="43" t="str">
        <f>IF([1]JEs!H22=0,"",[1]JEs!H22)</f>
        <v>Records the loan of $2,000,000 extended to the E-commerce business, expected to be repaid monthly.</v>
      </c>
      <c r="J23" s="43"/>
      <c r="K23" s="10" t="str">
        <f t="shared" si="4"/>
        <v>Loan/Notes receivable</v>
      </c>
      <c r="L23" s="96">
        <f t="shared" si="5"/>
        <v>2000000</v>
      </c>
      <c r="M23" s="10" t="str">
        <f>VLOOKUP(K23,'Chart of Accounts'!$C:$D,2,0)</f>
        <v>Loan/Notes receivable</v>
      </c>
    </row>
    <row r="24" spans="2:13" ht="14.25" customHeight="1" outlineLevel="1" x14ac:dyDescent="0.25">
      <c r="B24" s="40">
        <f>+[1]JEs!B23</f>
        <v>45413</v>
      </c>
      <c r="C24" s="40">
        <f t="shared" si="2"/>
        <v>45443</v>
      </c>
      <c r="D24" s="40">
        <f t="shared" si="3"/>
        <v>45473</v>
      </c>
      <c r="E24" s="43" t="str">
        <f>IF([1]JEs!D23=0,"",[1]JEs!D23)</f>
        <v/>
      </c>
      <c r="F24" s="43" t="str">
        <f>IF([1]JEs!E23=0,"",[1]JEs!E23)</f>
        <v>Cash and cash equivalents</v>
      </c>
      <c r="G24" s="43" t="str">
        <f>IF([1]JEs!F23=0,"",[1]JEs!F23)</f>
        <v/>
      </c>
      <c r="H24" s="43">
        <f>IF([1]JEs!G23=0,"",[1]JEs!G23)</f>
        <v>2000000</v>
      </c>
      <c r="I24" s="43" t="str">
        <f>IF([1]JEs!H23=0,"",[1]JEs!H23)</f>
        <v>Reflects the outflow of cash as $2,000,000 is provided as a loan to the E-commerce business.</v>
      </c>
      <c r="J24" s="43"/>
      <c r="K24" s="10" t="str">
        <f t="shared" si="4"/>
        <v>Cash and cash equivalents</v>
      </c>
      <c r="L24" s="96">
        <f t="shared" si="5"/>
        <v>-2000000</v>
      </c>
      <c r="M24" s="188" t="str">
        <f>VLOOKUP(K24,'Chart of Accounts'!$C:$D,2,0)</f>
        <v>Cash and equivalents</v>
      </c>
    </row>
    <row r="25" spans="2:13" ht="14.25" customHeight="1" outlineLevel="1" x14ac:dyDescent="0.25">
      <c r="B25" s="40">
        <f>+[1]JEs!B24</f>
        <v>45413</v>
      </c>
      <c r="C25" s="40">
        <f t="shared" si="2"/>
        <v>45443</v>
      </c>
      <c r="D25" s="40">
        <f t="shared" si="3"/>
        <v>45473</v>
      </c>
      <c r="E25" s="43" t="str">
        <f>IF([1]JEs!D24=0,"",[1]JEs!D24)</f>
        <v>Loan/Notes receivable</v>
      </c>
      <c r="F25" s="43" t="str">
        <f>IF([1]JEs!E24=0,"",[1]JEs!E24)</f>
        <v/>
      </c>
      <c r="G25" s="43">
        <f>IF([1]JEs!F24=0,"",[1]JEs!F24)</f>
        <v>3000000</v>
      </c>
      <c r="H25" s="43" t="str">
        <f>IF([1]JEs!G24=0,"",[1]JEs!G24)</f>
        <v/>
      </c>
      <c r="I25" s="43" t="str">
        <f>IF([1]JEs!H24=0,"",[1]JEs!H24)</f>
        <v>Records the loan of $3,000,000 extended for the apartment construction project.</v>
      </c>
      <c r="J25" s="43"/>
      <c r="K25" s="10" t="str">
        <f t="shared" si="4"/>
        <v>Loan/Notes receivable</v>
      </c>
      <c r="L25" s="96">
        <f t="shared" si="5"/>
        <v>3000000</v>
      </c>
      <c r="M25" s="10" t="str">
        <f>VLOOKUP(K25,'Chart of Accounts'!$C:$D,2,0)</f>
        <v>Loan/Notes receivable</v>
      </c>
    </row>
    <row r="26" spans="2:13" ht="14.25" customHeight="1" outlineLevel="1" x14ac:dyDescent="0.25">
      <c r="B26" s="40">
        <f>+[1]JEs!B25</f>
        <v>45413</v>
      </c>
      <c r="C26" s="40">
        <f t="shared" si="2"/>
        <v>45443</v>
      </c>
      <c r="D26" s="40">
        <f t="shared" si="3"/>
        <v>45473</v>
      </c>
      <c r="E26" s="43" t="str">
        <f>IF([1]JEs!D25=0,"",[1]JEs!D25)</f>
        <v/>
      </c>
      <c r="F26" s="43" t="str">
        <f>IF([1]JEs!E25=0,"",[1]JEs!E25)</f>
        <v>Cash and cash equivalents</v>
      </c>
      <c r="G26" s="43" t="str">
        <f>IF([1]JEs!F25=0,"",[1]JEs!F25)</f>
        <v/>
      </c>
      <c r="H26" s="43">
        <f>IF([1]JEs!G25=0,"",[1]JEs!G25)</f>
        <v>3000000</v>
      </c>
      <c r="I26" s="43" t="str">
        <f>IF([1]JEs!H25=0,"",[1]JEs!H25)</f>
        <v>Reflects the outflow of cash as $3,000,000 is disbursed for the apartment construction loan.</v>
      </c>
      <c r="J26" s="43"/>
      <c r="K26" s="10" t="str">
        <f t="shared" si="4"/>
        <v>Cash and cash equivalents</v>
      </c>
      <c r="L26" s="96">
        <f t="shared" si="5"/>
        <v>-3000000</v>
      </c>
      <c r="M26" s="188" t="str">
        <f>VLOOKUP(K26,'Chart of Accounts'!$C:$D,2,0)</f>
        <v>Cash and equivalents</v>
      </c>
    </row>
    <row r="27" spans="2:13" ht="14.25" customHeight="1" outlineLevel="1" x14ac:dyDescent="0.25">
      <c r="B27" s="40">
        <f>+[1]JEs!B26</f>
        <v>45626</v>
      </c>
      <c r="C27" s="40">
        <f t="shared" si="2"/>
        <v>45626</v>
      </c>
      <c r="D27" s="40">
        <f t="shared" si="3"/>
        <v>45657</v>
      </c>
      <c r="E27" s="43" t="str">
        <f>IF([1]JEs!D26=0,"",[1]JEs!D26)</f>
        <v>Cash and cash equivalents</v>
      </c>
      <c r="F27" s="43" t="str">
        <f>IF([1]JEs!E26=0,"",[1]JEs!E26)</f>
        <v/>
      </c>
      <c r="G27" s="43">
        <f>IF([1]JEs!F26=0,"",[1]JEs!F26)</f>
        <v>9200000</v>
      </c>
      <c r="H27" s="43" t="str">
        <f>IF([1]JEs!G26=0,"",[1]JEs!G26)</f>
        <v/>
      </c>
      <c r="I27" s="43" t="str">
        <f>IF([1]JEs!H26=0,"",[1]JEs!H26)</f>
        <v>Cash received from the sale of AI Tech investments.</v>
      </c>
      <c r="J27" s="43"/>
      <c r="K27" s="10" t="str">
        <f t="shared" si="4"/>
        <v>Cash and cash equivalents</v>
      </c>
      <c r="L27" s="96">
        <f t="shared" si="5"/>
        <v>9200000</v>
      </c>
      <c r="M27" s="188" t="str">
        <f>VLOOKUP(K27,'Chart of Accounts'!$C:$D,2,0)</f>
        <v>Cash and equivalents</v>
      </c>
    </row>
    <row r="28" spans="2:13" ht="14.25" customHeight="1" outlineLevel="1" x14ac:dyDescent="0.25">
      <c r="B28" s="40">
        <f>+[1]JEs!B27</f>
        <v>45626</v>
      </c>
      <c r="C28" s="40">
        <f t="shared" si="2"/>
        <v>45626</v>
      </c>
      <c r="D28" s="40">
        <f t="shared" si="3"/>
        <v>45657</v>
      </c>
      <c r="E28" s="43" t="str">
        <f>IF([1]JEs!D27=0,"",[1]JEs!D27)</f>
        <v/>
      </c>
      <c r="F28" s="43" t="str">
        <f>IF([1]JEs!E27=0,"",[1]JEs!E27)</f>
        <v>Investments, at fair value</v>
      </c>
      <c r="G28" s="43" t="str">
        <f>IF([1]JEs!F27=0,"",[1]JEs!F27)</f>
        <v/>
      </c>
      <c r="H28" s="43">
        <f>IF([1]JEs!G27=0,"",[1]JEs!G27)</f>
        <v>4600000</v>
      </c>
      <c r="I28" s="43" t="str">
        <f>IF([1]JEs!H27=0,"",[1]JEs!H27)</f>
        <v>Removal of the sold AI Tech investments from the balance sheet.</v>
      </c>
      <c r="J28" s="43"/>
      <c r="K28" s="10" t="str">
        <f t="shared" si="4"/>
        <v>Investments, at fair value</v>
      </c>
      <c r="L28" s="96">
        <f t="shared" si="5"/>
        <v>-4600000</v>
      </c>
      <c r="M28" s="10" t="str">
        <f>VLOOKUP(K28,'Chart of Accounts'!$C:$D,2,0)</f>
        <v>Investments, at fair value</v>
      </c>
    </row>
    <row r="29" spans="2:13" ht="14.25" customHeight="1" outlineLevel="1" x14ac:dyDescent="0.25">
      <c r="B29" s="40">
        <f>+[1]JEs!B28</f>
        <v>45626</v>
      </c>
      <c r="C29" s="40">
        <f t="shared" si="2"/>
        <v>45626</v>
      </c>
      <c r="D29" s="40">
        <f t="shared" si="3"/>
        <v>45657</v>
      </c>
      <c r="E29" s="43" t="str">
        <f>IF([1]JEs!D28=0,"",[1]JEs!D28)</f>
        <v/>
      </c>
      <c r="F29" s="43" t="str">
        <f>IF([1]JEs!E28=0,"",[1]JEs!E28)</f>
        <v>Realized Investment gains/losses</v>
      </c>
      <c r="G29" s="43" t="str">
        <f>IF([1]JEs!F28=0,"",[1]JEs!F28)</f>
        <v/>
      </c>
      <c r="H29" s="43">
        <f>IF([1]JEs!G28=0,"",[1]JEs!G28)</f>
        <v>4600000</v>
      </c>
      <c r="I29" s="43" t="str">
        <f>IF([1]JEs!H28=0,"",[1]JEs!H28)</f>
        <v>Recognition of the profit realized on the sale of AI Tech investments.</v>
      </c>
      <c r="J29" s="43"/>
      <c r="K29" s="10" t="str">
        <f t="shared" si="4"/>
        <v>Realized Investment gains/losses</v>
      </c>
      <c r="L29" s="96">
        <f t="shared" si="5"/>
        <v>-4600000</v>
      </c>
      <c r="M29" s="10" t="str">
        <f>VLOOKUP(K29,'Chart of Accounts'!$C:$D,2,0)</f>
        <v>Realized Gains/Losses</v>
      </c>
    </row>
    <row r="30" spans="2:13" ht="14.25" customHeight="1" outlineLevel="1" x14ac:dyDescent="0.25">
      <c r="B30" s="40">
        <f>+[1]JEs!B29</f>
        <v>45633</v>
      </c>
      <c r="C30" s="40">
        <f t="shared" si="2"/>
        <v>45657</v>
      </c>
      <c r="D30" s="40">
        <f t="shared" si="3"/>
        <v>45657</v>
      </c>
      <c r="E30" s="43" t="str">
        <f>IF([1]JEs!D29=0,"",[1]JEs!D29)</f>
        <v>Investor Redemptions</v>
      </c>
      <c r="F30" s="43" t="str">
        <f>IF([1]JEs!E29=0,"",[1]JEs!E29)</f>
        <v/>
      </c>
      <c r="G30" s="43">
        <f>IF([1]JEs!F29=0,"",[1]JEs!F29)</f>
        <v>7360000</v>
      </c>
      <c r="H30" s="43" t="str">
        <f>IF([1]JEs!G29=0,"",[1]JEs!G29)</f>
        <v/>
      </c>
      <c r="I30" s="43" t="str">
        <f>IF([1]JEs!H29=0,"",[1]JEs!H29)</f>
        <v>Distribution of cash proceeds to investors as redemptions.</v>
      </c>
      <c r="J30" s="43"/>
      <c r="K30" s="10" t="str">
        <f t="shared" si="4"/>
        <v>Investor Redemptions</v>
      </c>
      <c r="L30" s="96">
        <f t="shared" si="5"/>
        <v>7360000</v>
      </c>
      <c r="M30" s="10" t="str">
        <f>VLOOKUP(K30,'Chart of Accounts'!$C:$D,2,0)</f>
        <v>Partners' Capital</v>
      </c>
    </row>
    <row r="31" spans="2:13" ht="14.25" customHeight="1" outlineLevel="1" x14ac:dyDescent="0.25">
      <c r="B31" s="40">
        <f>+[1]JEs!B30</f>
        <v>45633</v>
      </c>
      <c r="C31" s="40">
        <f t="shared" si="2"/>
        <v>45657</v>
      </c>
      <c r="D31" s="40">
        <f t="shared" si="3"/>
        <v>45657</v>
      </c>
      <c r="E31" s="43" t="str">
        <f>IF([1]JEs!D30=0,"",[1]JEs!D30)</f>
        <v/>
      </c>
      <c r="F31" s="43" t="str">
        <f>IF([1]JEs!E30=0,"",[1]JEs!E30)</f>
        <v>Cash and cash equivalents</v>
      </c>
      <c r="G31" s="43" t="str">
        <f>IF([1]JEs!F30=0,"",[1]JEs!F30)</f>
        <v/>
      </c>
      <c r="H31" s="43">
        <f>IF([1]JEs!G30=0,"",[1]JEs!G30)</f>
        <v>7360000</v>
      </c>
      <c r="I31" s="43" t="str">
        <f>IF([1]JEs!H30=0,"",[1]JEs!H30)</f>
        <v>Cash outflow reflecting the redemption payments made to investors.</v>
      </c>
      <c r="J31" s="43"/>
      <c r="K31" s="10" t="str">
        <f t="shared" si="4"/>
        <v>Cash and cash equivalents</v>
      </c>
      <c r="L31" s="96">
        <f t="shared" si="5"/>
        <v>-7360000</v>
      </c>
      <c r="M31" s="188" t="str">
        <f>VLOOKUP(K31,'Chart of Accounts'!$C:$D,2,0)</f>
        <v>Cash and equivalents</v>
      </c>
    </row>
    <row r="32" spans="2:13" ht="14.25" customHeight="1" outlineLevel="1" x14ac:dyDescent="0.25">
      <c r="B32" s="40">
        <f>+[1]JEs!B31</f>
        <v>45657</v>
      </c>
      <c r="C32" s="40">
        <f t="shared" si="2"/>
        <v>45657</v>
      </c>
      <c r="D32" s="40">
        <f t="shared" si="3"/>
        <v>45657</v>
      </c>
      <c r="E32" s="43" t="str">
        <f>IF([1]JEs!D31=0,"",[1]JEs!D31)</f>
        <v>Cash and cash equivalents</v>
      </c>
      <c r="F32" s="43" t="str">
        <f>IF([1]JEs!E31=0,"",[1]JEs!E31)</f>
        <v/>
      </c>
      <c r="G32" s="43">
        <f>IF([1]JEs!F31=0,"",[1]JEs!F31)</f>
        <v>2753833.0900729205</v>
      </c>
      <c r="H32" s="43" t="str">
        <f>IF([1]JEs!G31=0,"",[1]JEs!G31)</f>
        <v/>
      </c>
      <c r="I32" s="43" t="str">
        <f>IF([1]JEs!H31=0,"",[1]JEs!H31)</f>
        <v>Cash received as prepaid proceeds for the construction loan.</v>
      </c>
      <c r="J32" s="43"/>
      <c r="K32" s="10" t="str">
        <f t="shared" si="4"/>
        <v>Cash and cash equivalents</v>
      </c>
      <c r="L32" s="96">
        <f t="shared" si="5"/>
        <v>2753833.0900729205</v>
      </c>
      <c r="M32" s="188" t="str">
        <f>VLOOKUP(K32,'Chart of Accounts'!$C:$D,2,0)</f>
        <v>Cash and equivalents</v>
      </c>
    </row>
    <row r="33" spans="2:13" ht="14.25" customHeight="1" outlineLevel="1" x14ac:dyDescent="0.25">
      <c r="B33" s="40">
        <f>+[1]JEs!B32</f>
        <v>45657</v>
      </c>
      <c r="C33" s="40">
        <f t="shared" si="2"/>
        <v>45657</v>
      </c>
      <c r="D33" s="40">
        <f t="shared" si="3"/>
        <v>45657</v>
      </c>
      <c r="E33" s="43" t="str">
        <f>IF([1]JEs!D32=0,"",[1]JEs!D32)</f>
        <v/>
      </c>
      <c r="F33" s="43" t="str">
        <f>IF([1]JEs!E32=0,"",[1]JEs!E32)</f>
        <v>Loan/Notes receivable</v>
      </c>
      <c r="G33" s="43" t="str">
        <f>IF([1]JEs!F32=0,"",[1]JEs!F32)</f>
        <v/>
      </c>
      <c r="H33" s="43">
        <f>IF([1]JEs!G32=0,"",[1]JEs!G32)</f>
        <v>2753833.0900729205</v>
      </c>
      <c r="I33" s="43" t="str">
        <f>IF([1]JEs!H32=0,"",[1]JEs!H32)</f>
        <v>Recognition of the loan/notes receivable for the prepaid proceeds.</v>
      </c>
      <c r="J33" s="43"/>
      <c r="K33" s="10" t="str">
        <f t="shared" si="4"/>
        <v>Loan/Notes receivable</v>
      </c>
      <c r="L33" s="96">
        <f t="shared" si="5"/>
        <v>-2753833.0900729205</v>
      </c>
      <c r="M33" s="10" t="str">
        <f>VLOOKUP(K33,'Chart of Accounts'!$C:$D,2,0)</f>
        <v>Loan/Notes receivable</v>
      </c>
    </row>
    <row r="34" spans="2:13" ht="14.25" customHeight="1" outlineLevel="1" x14ac:dyDescent="0.25">
      <c r="B34" s="40">
        <f>+[1]JEs!B33</f>
        <v>45657</v>
      </c>
      <c r="C34" s="40">
        <f t="shared" si="2"/>
        <v>45657</v>
      </c>
      <c r="D34" s="40">
        <f t="shared" si="3"/>
        <v>45657</v>
      </c>
      <c r="E34" s="43" t="str">
        <f>IF([1]JEs!D33=0,"",[1]JEs!D33)</f>
        <v>Investor Redemptions</v>
      </c>
      <c r="F34" s="43" t="str">
        <f>IF([1]JEs!E33=0,"",[1]JEs!E33)</f>
        <v/>
      </c>
      <c r="G34" s="43">
        <f>IF([1]JEs!F33=0,"",[1]JEs!F33)</f>
        <v>2753833.0900729205</v>
      </c>
      <c r="H34" s="43" t="str">
        <f>IF([1]JEs!G33=0,"",[1]JEs!G33)</f>
        <v/>
      </c>
      <c r="I34" s="43" t="str">
        <f>IF([1]JEs!H33=0,"",[1]JEs!H33)</f>
        <v>Distribution of cash proceeds to investors as redemptions.</v>
      </c>
      <c r="J34" s="43"/>
      <c r="K34" s="10" t="str">
        <f t="shared" si="4"/>
        <v>Investor Redemptions</v>
      </c>
      <c r="L34" s="96">
        <f t="shared" si="5"/>
        <v>2753833.0900729205</v>
      </c>
      <c r="M34" s="10" t="str">
        <f>VLOOKUP(K34,'Chart of Accounts'!$C:$D,2,0)</f>
        <v>Partners' Capital</v>
      </c>
    </row>
    <row r="35" spans="2:13" ht="14.25" customHeight="1" outlineLevel="1" x14ac:dyDescent="0.25">
      <c r="B35" s="40">
        <f>+[1]JEs!B34</f>
        <v>45657</v>
      </c>
      <c r="C35" s="40">
        <f t="shared" si="2"/>
        <v>45657</v>
      </c>
      <c r="D35" s="40">
        <f t="shared" si="3"/>
        <v>45657</v>
      </c>
      <c r="E35" s="43" t="str">
        <f>IF([1]JEs!D34=0,"",[1]JEs!D34)</f>
        <v/>
      </c>
      <c r="F35" s="43" t="str">
        <f>IF([1]JEs!E34=0,"",[1]JEs!E34)</f>
        <v>Cash and cash equivalents</v>
      </c>
      <c r="G35" s="43" t="str">
        <f>IF([1]JEs!F34=0,"",[1]JEs!F34)</f>
        <v/>
      </c>
      <c r="H35" s="43">
        <f>IF([1]JEs!G34=0,"",[1]JEs!G34)</f>
        <v>2753833.0900729205</v>
      </c>
      <c r="I35" s="43" t="str">
        <f>IF([1]JEs!H34=0,"",[1]JEs!H34)</f>
        <v>Cash outflow reflecting the redemption payments made to investors.</v>
      </c>
      <c r="J35" s="43"/>
      <c r="K35" s="10" t="str">
        <f t="shared" si="4"/>
        <v>Cash and cash equivalents</v>
      </c>
      <c r="L35" s="96">
        <f t="shared" si="5"/>
        <v>-2753833.0900729205</v>
      </c>
      <c r="M35" s="188" t="str">
        <f>VLOOKUP(K35,'Chart of Accounts'!$C:$D,2,0)</f>
        <v>Cash and equivalents</v>
      </c>
    </row>
    <row r="36" spans="2:13" ht="14.25" customHeight="1" outlineLevel="1" x14ac:dyDescent="0.25">
      <c r="B36" s="40">
        <f>+[1]JEs!B35</f>
        <v>45322</v>
      </c>
      <c r="C36" s="40">
        <f t="shared" si="2"/>
        <v>45322</v>
      </c>
      <c r="D36" s="40">
        <f t="shared" si="3"/>
        <v>45382</v>
      </c>
      <c r="E36" s="43" t="str">
        <f>IF([1]JEs!D35=0,"",[1]JEs!D35)</f>
        <v>Legal fee expense</v>
      </c>
      <c r="F36" s="43" t="str">
        <f>IF([1]JEs!E35=0,"",[1]JEs!E35)</f>
        <v/>
      </c>
      <c r="G36" s="43">
        <f>IF([1]JEs!F35=0,"",[1]JEs!F35)</f>
        <v>1666.6666666666667</v>
      </c>
      <c r="H36" s="43" t="str">
        <f>IF([1]JEs!G35=0,"",[1]JEs!G35)</f>
        <v/>
      </c>
      <c r="I36" s="43" t="str">
        <f>IF([1]JEs!H35=0,"",[1]JEs!H35)</f>
        <v>Legal fee incurred - January 2024</v>
      </c>
      <c r="J36" s="43"/>
      <c r="K36" s="10" t="str">
        <f t="shared" si="4"/>
        <v>Legal fee expense</v>
      </c>
      <c r="L36" s="96">
        <f t="shared" si="5"/>
        <v>1666.6666666666667</v>
      </c>
      <c r="M36" s="10" t="str">
        <f>VLOOKUP(K36,'Chart of Accounts'!$C:$D,2,0)</f>
        <v>Professional Fees</v>
      </c>
    </row>
    <row r="37" spans="2:13" ht="14.25" customHeight="1" outlineLevel="1" x14ac:dyDescent="0.25">
      <c r="B37" s="40">
        <f>+[1]JEs!B36</f>
        <v>45322</v>
      </c>
      <c r="C37" s="40">
        <f t="shared" si="2"/>
        <v>45322</v>
      </c>
      <c r="D37" s="40">
        <f t="shared" si="3"/>
        <v>45382</v>
      </c>
      <c r="E37" s="43" t="str">
        <f>IF([1]JEs!D36=0,"",[1]JEs!D36)</f>
        <v/>
      </c>
      <c r="F37" s="43" t="str">
        <f>IF([1]JEs!E36=0,"",[1]JEs!E36)</f>
        <v>Cash and cash equivalents</v>
      </c>
      <c r="G37" s="43" t="str">
        <f>IF([1]JEs!F36=0,"",[1]JEs!F36)</f>
        <v/>
      </c>
      <c r="H37" s="43">
        <f>IF([1]JEs!G36=0,"",[1]JEs!G36)</f>
        <v>1666.6666666666667</v>
      </c>
      <c r="I37" s="43" t="str">
        <f>IF([1]JEs!H36=0,"",[1]JEs!H36)</f>
        <v>Payment for legal fee - January 2024</v>
      </c>
      <c r="J37" s="43"/>
      <c r="K37" s="10" t="str">
        <f t="shared" si="4"/>
        <v>Cash and cash equivalents</v>
      </c>
      <c r="L37" s="96">
        <f t="shared" si="5"/>
        <v>-1666.6666666666667</v>
      </c>
      <c r="M37" s="188" t="str">
        <f>VLOOKUP(K37,'Chart of Accounts'!$C:$D,2,0)</f>
        <v>Cash and equivalents</v>
      </c>
    </row>
    <row r="38" spans="2:13" ht="14.25" customHeight="1" outlineLevel="1" x14ac:dyDescent="0.25">
      <c r="B38" s="40">
        <f>+[1]JEs!B37</f>
        <v>45351</v>
      </c>
      <c r="C38" s="40">
        <f t="shared" si="2"/>
        <v>45351</v>
      </c>
      <c r="D38" s="40">
        <f t="shared" si="3"/>
        <v>45382</v>
      </c>
      <c r="E38" s="43" t="str">
        <f>IF([1]JEs!D37=0,"",[1]JEs!D37)</f>
        <v>Legal fee expense</v>
      </c>
      <c r="F38" s="43" t="str">
        <f>IF([1]JEs!E37=0,"",[1]JEs!E37)</f>
        <v/>
      </c>
      <c r="G38" s="43">
        <f>IF([1]JEs!F37=0,"",[1]JEs!F37)</f>
        <v>1666.6666666666667</v>
      </c>
      <c r="H38" s="43" t="str">
        <f>IF([1]JEs!G37=0,"",[1]JEs!G37)</f>
        <v/>
      </c>
      <c r="I38" s="43" t="str">
        <f>IF([1]JEs!H37=0,"",[1]JEs!H37)</f>
        <v>Legal fee incurred - February 2024</v>
      </c>
      <c r="J38" s="43"/>
      <c r="K38" s="10" t="str">
        <f t="shared" si="4"/>
        <v>Legal fee expense</v>
      </c>
      <c r="L38" s="96">
        <f t="shared" si="5"/>
        <v>1666.6666666666667</v>
      </c>
      <c r="M38" s="10" t="str">
        <f>VLOOKUP(K38,'Chart of Accounts'!$C:$D,2,0)</f>
        <v>Professional Fees</v>
      </c>
    </row>
    <row r="39" spans="2:13" ht="14.25" customHeight="1" outlineLevel="1" x14ac:dyDescent="0.25">
      <c r="B39" s="40">
        <f>+[1]JEs!B38</f>
        <v>45351</v>
      </c>
      <c r="C39" s="40">
        <f t="shared" si="2"/>
        <v>45351</v>
      </c>
      <c r="D39" s="40">
        <f t="shared" si="3"/>
        <v>45382</v>
      </c>
      <c r="E39" s="43" t="str">
        <f>IF([1]JEs!D38=0,"",[1]JEs!D38)</f>
        <v/>
      </c>
      <c r="F39" s="43" t="str">
        <f>IF([1]JEs!E38=0,"",[1]JEs!E38)</f>
        <v>Cash and cash equivalents</v>
      </c>
      <c r="G39" s="43" t="str">
        <f>IF([1]JEs!F38=0,"",[1]JEs!F38)</f>
        <v/>
      </c>
      <c r="H39" s="43">
        <f>IF([1]JEs!G38=0,"",[1]JEs!G38)</f>
        <v>1666.6666666666667</v>
      </c>
      <c r="I39" s="43" t="str">
        <f>IF([1]JEs!H38=0,"",[1]JEs!H38)</f>
        <v>Payment for legal fee - February 2024</v>
      </c>
      <c r="J39" s="43"/>
      <c r="K39" s="10" t="str">
        <f t="shared" si="4"/>
        <v>Cash and cash equivalents</v>
      </c>
      <c r="L39" s="96">
        <f t="shared" si="5"/>
        <v>-1666.6666666666667</v>
      </c>
      <c r="M39" s="188" t="str">
        <f>VLOOKUP(K39,'Chart of Accounts'!$C:$D,2,0)</f>
        <v>Cash and equivalents</v>
      </c>
    </row>
    <row r="40" spans="2:13" ht="14.25" customHeight="1" outlineLevel="1" x14ac:dyDescent="0.25">
      <c r="B40" s="40">
        <f>+[1]JEs!B39</f>
        <v>45382</v>
      </c>
      <c r="C40" s="40">
        <f t="shared" si="2"/>
        <v>45382</v>
      </c>
      <c r="D40" s="40">
        <f t="shared" si="3"/>
        <v>45382</v>
      </c>
      <c r="E40" s="43" t="str">
        <f>IF([1]JEs!D39=0,"",[1]JEs!D39)</f>
        <v>Legal fee expense</v>
      </c>
      <c r="F40" s="43" t="str">
        <f>IF([1]JEs!E39=0,"",[1]JEs!E39)</f>
        <v/>
      </c>
      <c r="G40" s="43">
        <f>IF([1]JEs!F39=0,"",[1]JEs!F39)</f>
        <v>1666.6666666666667</v>
      </c>
      <c r="H40" s="43" t="str">
        <f>IF([1]JEs!G39=0,"",[1]JEs!G39)</f>
        <v/>
      </c>
      <c r="I40" s="43" t="str">
        <f>IF([1]JEs!H39=0,"",[1]JEs!H39)</f>
        <v>Legal fee incurred - March 2024</v>
      </c>
      <c r="J40" s="43"/>
      <c r="K40" s="10" t="str">
        <f t="shared" si="4"/>
        <v>Legal fee expense</v>
      </c>
      <c r="L40" s="96">
        <f t="shared" si="5"/>
        <v>1666.6666666666667</v>
      </c>
      <c r="M40" s="10" t="str">
        <f>VLOOKUP(K40,'Chart of Accounts'!$C:$D,2,0)</f>
        <v>Professional Fees</v>
      </c>
    </row>
    <row r="41" spans="2:13" ht="14.25" customHeight="1" outlineLevel="1" x14ac:dyDescent="0.25">
      <c r="B41" s="40">
        <f>+[1]JEs!B40</f>
        <v>45382</v>
      </c>
      <c r="C41" s="40">
        <f t="shared" si="2"/>
        <v>45382</v>
      </c>
      <c r="D41" s="40">
        <f t="shared" si="3"/>
        <v>45382</v>
      </c>
      <c r="E41" s="43" t="str">
        <f>IF([1]JEs!D40=0,"",[1]JEs!D40)</f>
        <v/>
      </c>
      <c r="F41" s="43" t="str">
        <f>IF([1]JEs!E40=0,"",[1]JEs!E40)</f>
        <v>Cash and cash equivalents</v>
      </c>
      <c r="G41" s="43" t="str">
        <f>IF([1]JEs!F40=0,"",[1]JEs!F40)</f>
        <v/>
      </c>
      <c r="H41" s="43">
        <f>IF([1]JEs!G40=0,"",[1]JEs!G40)</f>
        <v>1666.6666666666667</v>
      </c>
      <c r="I41" s="43" t="str">
        <f>IF([1]JEs!H40=0,"",[1]JEs!H40)</f>
        <v>Payment for legal fee - March 2024</v>
      </c>
      <c r="J41" s="43"/>
      <c r="K41" s="10" t="str">
        <f t="shared" si="4"/>
        <v>Cash and cash equivalents</v>
      </c>
      <c r="L41" s="96">
        <f t="shared" si="5"/>
        <v>-1666.6666666666667</v>
      </c>
      <c r="M41" s="188" t="str">
        <f>VLOOKUP(K41,'Chart of Accounts'!$C:$D,2,0)</f>
        <v>Cash and equivalents</v>
      </c>
    </row>
    <row r="42" spans="2:13" ht="14.25" customHeight="1" outlineLevel="1" x14ac:dyDescent="0.25">
      <c r="B42" s="40">
        <f>+[1]JEs!B41</f>
        <v>45412</v>
      </c>
      <c r="C42" s="40">
        <f t="shared" si="2"/>
        <v>45412</v>
      </c>
      <c r="D42" s="40">
        <f t="shared" si="3"/>
        <v>45473</v>
      </c>
      <c r="E42" s="43" t="str">
        <f>IF([1]JEs!D41=0,"",[1]JEs!D41)</f>
        <v>Legal fee expense</v>
      </c>
      <c r="F42" s="43" t="str">
        <f>IF([1]JEs!E41=0,"",[1]JEs!E41)</f>
        <v/>
      </c>
      <c r="G42" s="43">
        <f>IF([1]JEs!F41=0,"",[1]JEs!F41)</f>
        <v>1666.6666666666667</v>
      </c>
      <c r="H42" s="43" t="str">
        <f>IF([1]JEs!G41=0,"",[1]JEs!G41)</f>
        <v/>
      </c>
      <c r="I42" s="43" t="str">
        <f>IF([1]JEs!H41=0,"",[1]JEs!H41)</f>
        <v>Legal fee incurred - April 2024</v>
      </c>
      <c r="J42" s="43"/>
      <c r="K42" s="10" t="str">
        <f t="shared" si="4"/>
        <v>Legal fee expense</v>
      </c>
      <c r="L42" s="96">
        <f t="shared" si="5"/>
        <v>1666.6666666666667</v>
      </c>
      <c r="M42" s="10" t="str">
        <f>VLOOKUP(K42,'Chart of Accounts'!$C:$D,2,0)</f>
        <v>Professional Fees</v>
      </c>
    </row>
    <row r="43" spans="2:13" ht="14.25" customHeight="1" outlineLevel="1" x14ac:dyDescent="0.25">
      <c r="B43" s="40">
        <f>+[1]JEs!B42</f>
        <v>45412</v>
      </c>
      <c r="C43" s="40">
        <f t="shared" si="2"/>
        <v>45412</v>
      </c>
      <c r="D43" s="40">
        <f t="shared" si="3"/>
        <v>45473</v>
      </c>
      <c r="E43" s="43" t="str">
        <f>IF([1]JEs!D42=0,"",[1]JEs!D42)</f>
        <v/>
      </c>
      <c r="F43" s="43" t="str">
        <f>IF([1]JEs!E42=0,"",[1]JEs!E42)</f>
        <v>Cash and cash equivalents</v>
      </c>
      <c r="G43" s="43" t="str">
        <f>IF([1]JEs!F42=0,"",[1]JEs!F42)</f>
        <v/>
      </c>
      <c r="H43" s="43">
        <f>IF([1]JEs!G42=0,"",[1]JEs!G42)</f>
        <v>1666.6666666666667</v>
      </c>
      <c r="I43" s="43" t="str">
        <f>IF([1]JEs!H42=0,"",[1]JEs!H42)</f>
        <v>Payment for legal fee - April 2024</v>
      </c>
      <c r="J43" s="43"/>
      <c r="K43" s="10" t="str">
        <f t="shared" si="4"/>
        <v>Cash and cash equivalents</v>
      </c>
      <c r="L43" s="96">
        <f t="shared" si="5"/>
        <v>-1666.6666666666667</v>
      </c>
      <c r="M43" s="188" t="str">
        <f>VLOOKUP(K43,'Chart of Accounts'!$C:$D,2,0)</f>
        <v>Cash and equivalents</v>
      </c>
    </row>
    <row r="44" spans="2:13" ht="14.25" customHeight="1" outlineLevel="1" x14ac:dyDescent="0.25">
      <c r="B44" s="40">
        <f>+[1]JEs!B43</f>
        <v>45443</v>
      </c>
      <c r="C44" s="40">
        <f t="shared" si="2"/>
        <v>45443</v>
      </c>
      <c r="D44" s="40">
        <f t="shared" si="3"/>
        <v>45473</v>
      </c>
      <c r="E44" s="43" t="str">
        <f>IF([1]JEs!D43=0,"",[1]JEs!D43)</f>
        <v>Legal fee expense</v>
      </c>
      <c r="F44" s="43" t="str">
        <f>IF([1]JEs!E43=0,"",[1]JEs!E43)</f>
        <v/>
      </c>
      <c r="G44" s="43">
        <f>IF([1]JEs!F43=0,"",[1]JEs!F43)</f>
        <v>1666.6666666666667</v>
      </c>
      <c r="H44" s="43" t="str">
        <f>IF([1]JEs!G43=0,"",[1]JEs!G43)</f>
        <v/>
      </c>
      <c r="I44" s="43" t="str">
        <f>IF([1]JEs!H43=0,"",[1]JEs!H43)</f>
        <v>Legal fee incurred - May 2024</v>
      </c>
      <c r="J44" s="43"/>
      <c r="K44" s="10" t="str">
        <f t="shared" si="4"/>
        <v>Legal fee expense</v>
      </c>
      <c r="L44" s="96">
        <f t="shared" si="5"/>
        <v>1666.6666666666667</v>
      </c>
      <c r="M44" s="10" t="str">
        <f>VLOOKUP(K44,'Chart of Accounts'!$C:$D,2,0)</f>
        <v>Professional Fees</v>
      </c>
    </row>
    <row r="45" spans="2:13" ht="14.25" customHeight="1" outlineLevel="1" x14ac:dyDescent="0.25">
      <c r="B45" s="40">
        <f>+[1]JEs!B44</f>
        <v>45443</v>
      </c>
      <c r="C45" s="40">
        <f t="shared" si="2"/>
        <v>45443</v>
      </c>
      <c r="D45" s="40">
        <f t="shared" si="3"/>
        <v>45473</v>
      </c>
      <c r="E45" s="43" t="str">
        <f>IF([1]JEs!D44=0,"",[1]JEs!D44)</f>
        <v/>
      </c>
      <c r="F45" s="43" t="str">
        <f>IF([1]JEs!E44=0,"",[1]JEs!E44)</f>
        <v>Cash and cash equivalents</v>
      </c>
      <c r="G45" s="43" t="str">
        <f>IF([1]JEs!F44=0,"",[1]JEs!F44)</f>
        <v/>
      </c>
      <c r="H45" s="43">
        <f>IF([1]JEs!G44=0,"",[1]JEs!G44)</f>
        <v>1666.6666666666667</v>
      </c>
      <c r="I45" s="43" t="str">
        <f>IF([1]JEs!H44=0,"",[1]JEs!H44)</f>
        <v>Payment for legal fee - May 2024</v>
      </c>
      <c r="J45" s="43"/>
      <c r="K45" s="10" t="str">
        <f t="shared" si="4"/>
        <v>Cash and cash equivalents</v>
      </c>
      <c r="L45" s="96">
        <f t="shared" si="5"/>
        <v>-1666.6666666666667</v>
      </c>
      <c r="M45" s="188" t="str">
        <f>VLOOKUP(K45,'Chart of Accounts'!$C:$D,2,0)</f>
        <v>Cash and equivalents</v>
      </c>
    </row>
    <row r="46" spans="2:13" ht="14.25" customHeight="1" outlineLevel="1" x14ac:dyDescent="0.25">
      <c r="B46" s="40">
        <f>+[1]JEs!B45</f>
        <v>45473</v>
      </c>
      <c r="C46" s="40">
        <f t="shared" si="2"/>
        <v>45473</v>
      </c>
      <c r="D46" s="40">
        <f t="shared" si="3"/>
        <v>45473</v>
      </c>
      <c r="E46" s="43" t="str">
        <f>IF([1]JEs!D45=0,"",[1]JEs!D45)</f>
        <v>Legal fee expense</v>
      </c>
      <c r="F46" s="43" t="str">
        <f>IF([1]JEs!E45=0,"",[1]JEs!E45)</f>
        <v/>
      </c>
      <c r="G46" s="43">
        <f>IF([1]JEs!F45=0,"",[1]JEs!F45)</f>
        <v>1666.6666666666667</v>
      </c>
      <c r="H46" s="43" t="str">
        <f>IF([1]JEs!G45=0,"",[1]JEs!G45)</f>
        <v/>
      </c>
      <c r="I46" s="43" t="str">
        <f>IF([1]JEs!H45=0,"",[1]JEs!H45)</f>
        <v>Legal fee incurred - June 2024</v>
      </c>
      <c r="J46" s="43"/>
      <c r="K46" s="10" t="str">
        <f t="shared" si="4"/>
        <v>Legal fee expense</v>
      </c>
      <c r="L46" s="96">
        <f t="shared" si="5"/>
        <v>1666.6666666666667</v>
      </c>
      <c r="M46" s="10" t="str">
        <f>VLOOKUP(K46,'Chart of Accounts'!$C:$D,2,0)</f>
        <v>Professional Fees</v>
      </c>
    </row>
    <row r="47" spans="2:13" ht="14.25" customHeight="1" outlineLevel="1" x14ac:dyDescent="0.25">
      <c r="B47" s="40">
        <f>+[1]JEs!B46</f>
        <v>45473</v>
      </c>
      <c r="C47" s="40">
        <f t="shared" si="2"/>
        <v>45473</v>
      </c>
      <c r="D47" s="40">
        <f t="shared" si="3"/>
        <v>45473</v>
      </c>
      <c r="E47" s="43" t="str">
        <f>IF([1]JEs!D46=0,"",[1]JEs!D46)</f>
        <v/>
      </c>
      <c r="F47" s="43" t="str">
        <f>IF([1]JEs!E46=0,"",[1]JEs!E46)</f>
        <v>Cash and cash equivalents</v>
      </c>
      <c r="G47" s="43" t="str">
        <f>IF([1]JEs!F46=0,"",[1]JEs!F46)</f>
        <v/>
      </c>
      <c r="H47" s="43">
        <f>IF([1]JEs!G46=0,"",[1]JEs!G46)</f>
        <v>1666.6666666666667</v>
      </c>
      <c r="I47" s="43" t="str">
        <f>IF([1]JEs!H46=0,"",[1]JEs!H46)</f>
        <v>Payment for legal fee - June 2024</v>
      </c>
      <c r="J47" s="43"/>
      <c r="K47" s="10" t="str">
        <f t="shared" si="4"/>
        <v>Cash and cash equivalents</v>
      </c>
      <c r="L47" s="96">
        <f t="shared" si="5"/>
        <v>-1666.6666666666667</v>
      </c>
      <c r="M47" s="188" t="str">
        <f>VLOOKUP(K47,'Chart of Accounts'!$C:$D,2,0)</f>
        <v>Cash and equivalents</v>
      </c>
    </row>
    <row r="48" spans="2:13" ht="14.25" customHeight="1" outlineLevel="1" x14ac:dyDescent="0.25">
      <c r="B48" s="40">
        <f>+[1]JEs!B47</f>
        <v>45504</v>
      </c>
      <c r="C48" s="40">
        <f t="shared" si="2"/>
        <v>45504</v>
      </c>
      <c r="D48" s="40">
        <f t="shared" si="3"/>
        <v>45565</v>
      </c>
      <c r="E48" s="43" t="str">
        <f>IF([1]JEs!D47=0,"",[1]JEs!D47)</f>
        <v>Legal fee expense</v>
      </c>
      <c r="F48" s="43" t="str">
        <f>IF([1]JEs!E47=0,"",[1]JEs!E47)</f>
        <v/>
      </c>
      <c r="G48" s="43">
        <f>IF([1]JEs!F47=0,"",[1]JEs!F47)</f>
        <v>1666.6666666666667</v>
      </c>
      <c r="H48" s="43" t="str">
        <f>IF([1]JEs!G47=0,"",[1]JEs!G47)</f>
        <v/>
      </c>
      <c r="I48" s="43" t="str">
        <f>IF([1]JEs!H47=0,"",[1]JEs!H47)</f>
        <v>Legal fee incurred - July 2024</v>
      </c>
      <c r="J48" s="43"/>
      <c r="K48" s="10" t="str">
        <f t="shared" si="4"/>
        <v>Legal fee expense</v>
      </c>
      <c r="L48" s="96">
        <f t="shared" si="5"/>
        <v>1666.6666666666667</v>
      </c>
      <c r="M48" s="10" t="str">
        <f>VLOOKUP(K48,'Chart of Accounts'!$C:$D,2,0)</f>
        <v>Professional Fees</v>
      </c>
    </row>
    <row r="49" spans="2:13" ht="14.25" customHeight="1" outlineLevel="1" x14ac:dyDescent="0.25">
      <c r="B49" s="40">
        <f>+[1]JEs!B48</f>
        <v>45504</v>
      </c>
      <c r="C49" s="40">
        <f t="shared" si="2"/>
        <v>45504</v>
      </c>
      <c r="D49" s="40">
        <f t="shared" si="3"/>
        <v>45565</v>
      </c>
      <c r="E49" s="43" t="str">
        <f>IF([1]JEs!D48=0,"",[1]JEs!D48)</f>
        <v/>
      </c>
      <c r="F49" s="43" t="str">
        <f>IF([1]JEs!E48=0,"",[1]JEs!E48)</f>
        <v>Cash and cash equivalents</v>
      </c>
      <c r="G49" s="43" t="str">
        <f>IF([1]JEs!F48=0,"",[1]JEs!F48)</f>
        <v/>
      </c>
      <c r="H49" s="43">
        <f>IF([1]JEs!G48=0,"",[1]JEs!G48)</f>
        <v>1666.6666666666667</v>
      </c>
      <c r="I49" s="43" t="str">
        <f>IF([1]JEs!H48=0,"",[1]JEs!H48)</f>
        <v>Payment for legal fee - July 2024</v>
      </c>
      <c r="J49" s="43"/>
      <c r="K49" s="10" t="str">
        <f t="shared" si="4"/>
        <v>Cash and cash equivalents</v>
      </c>
      <c r="L49" s="96">
        <f t="shared" si="5"/>
        <v>-1666.6666666666667</v>
      </c>
      <c r="M49" s="188" t="str">
        <f>VLOOKUP(K49,'Chart of Accounts'!$C:$D,2,0)</f>
        <v>Cash and equivalents</v>
      </c>
    </row>
    <row r="50" spans="2:13" ht="14.25" customHeight="1" outlineLevel="1" x14ac:dyDescent="0.25">
      <c r="B50" s="40">
        <f>+[1]JEs!B49</f>
        <v>45535</v>
      </c>
      <c r="C50" s="40">
        <f t="shared" si="2"/>
        <v>45535</v>
      </c>
      <c r="D50" s="40">
        <f t="shared" si="3"/>
        <v>45565</v>
      </c>
      <c r="E50" s="43" t="str">
        <f>IF([1]JEs!D49=0,"",[1]JEs!D49)</f>
        <v>Legal fee expense</v>
      </c>
      <c r="F50" s="43" t="str">
        <f>IF([1]JEs!E49=0,"",[1]JEs!E49)</f>
        <v/>
      </c>
      <c r="G50" s="43">
        <f>IF([1]JEs!F49=0,"",[1]JEs!F49)</f>
        <v>1666.6666666666667</v>
      </c>
      <c r="H50" s="43" t="str">
        <f>IF([1]JEs!G49=0,"",[1]JEs!G49)</f>
        <v/>
      </c>
      <c r="I50" s="43" t="str">
        <f>IF([1]JEs!H49=0,"",[1]JEs!H49)</f>
        <v>Legal fee incurred - August 2024</v>
      </c>
      <c r="J50" s="43"/>
      <c r="K50" s="10" t="str">
        <f t="shared" si="4"/>
        <v>Legal fee expense</v>
      </c>
      <c r="L50" s="96">
        <f t="shared" si="5"/>
        <v>1666.6666666666667</v>
      </c>
      <c r="M50" s="10" t="str">
        <f>VLOOKUP(K50,'Chart of Accounts'!$C:$D,2,0)</f>
        <v>Professional Fees</v>
      </c>
    </row>
    <row r="51" spans="2:13" ht="14.25" customHeight="1" outlineLevel="1" x14ac:dyDescent="0.25">
      <c r="B51" s="40">
        <f>+[1]JEs!B50</f>
        <v>45535</v>
      </c>
      <c r="C51" s="40">
        <f t="shared" si="2"/>
        <v>45535</v>
      </c>
      <c r="D51" s="40">
        <f t="shared" si="3"/>
        <v>45565</v>
      </c>
      <c r="E51" s="43" t="str">
        <f>IF([1]JEs!D50=0,"",[1]JEs!D50)</f>
        <v/>
      </c>
      <c r="F51" s="43" t="str">
        <f>IF([1]JEs!E50=0,"",[1]JEs!E50)</f>
        <v>Cash and cash equivalents</v>
      </c>
      <c r="G51" s="43" t="str">
        <f>IF([1]JEs!F50=0,"",[1]JEs!F50)</f>
        <v/>
      </c>
      <c r="H51" s="43">
        <f>IF([1]JEs!G50=0,"",[1]JEs!G50)</f>
        <v>1666.6666666666667</v>
      </c>
      <c r="I51" s="43" t="str">
        <f>IF([1]JEs!H50=0,"",[1]JEs!H50)</f>
        <v>Payment for legal fee - August 2024</v>
      </c>
      <c r="J51" s="43"/>
      <c r="K51" s="10" t="str">
        <f t="shared" si="4"/>
        <v>Cash and cash equivalents</v>
      </c>
      <c r="L51" s="96">
        <f t="shared" si="5"/>
        <v>-1666.6666666666667</v>
      </c>
      <c r="M51" s="188" t="str">
        <f>VLOOKUP(K51,'Chart of Accounts'!$C:$D,2,0)</f>
        <v>Cash and equivalents</v>
      </c>
    </row>
    <row r="52" spans="2:13" ht="14.25" customHeight="1" outlineLevel="1" x14ac:dyDescent="0.25">
      <c r="B52" s="40">
        <f>+[1]JEs!B51</f>
        <v>45565</v>
      </c>
      <c r="C52" s="40">
        <f t="shared" si="2"/>
        <v>45565</v>
      </c>
      <c r="D52" s="40">
        <f t="shared" si="3"/>
        <v>45565</v>
      </c>
      <c r="E52" s="43" t="str">
        <f>IF([1]JEs!D51=0,"",[1]JEs!D51)</f>
        <v>Legal fee expense</v>
      </c>
      <c r="F52" s="43" t="str">
        <f>IF([1]JEs!E51=0,"",[1]JEs!E51)</f>
        <v/>
      </c>
      <c r="G52" s="43">
        <f>IF([1]JEs!F51=0,"",[1]JEs!F51)</f>
        <v>1666.6666666666667</v>
      </c>
      <c r="H52" s="43" t="str">
        <f>IF([1]JEs!G51=0,"",[1]JEs!G51)</f>
        <v/>
      </c>
      <c r="I52" s="43" t="str">
        <f>IF([1]JEs!H51=0,"",[1]JEs!H51)</f>
        <v>Legal fee incurred - September 2024</v>
      </c>
      <c r="J52" s="43"/>
      <c r="K52" s="10" t="str">
        <f t="shared" si="4"/>
        <v>Legal fee expense</v>
      </c>
      <c r="L52" s="96">
        <f t="shared" si="5"/>
        <v>1666.6666666666667</v>
      </c>
      <c r="M52" s="10" t="str">
        <f>VLOOKUP(K52,'Chart of Accounts'!$C:$D,2,0)</f>
        <v>Professional Fees</v>
      </c>
    </row>
    <row r="53" spans="2:13" ht="14.25" customHeight="1" outlineLevel="1" x14ac:dyDescent="0.25">
      <c r="B53" s="40">
        <f>+[1]JEs!B52</f>
        <v>45565</v>
      </c>
      <c r="C53" s="40">
        <f t="shared" si="2"/>
        <v>45565</v>
      </c>
      <c r="D53" s="40">
        <f t="shared" si="3"/>
        <v>45565</v>
      </c>
      <c r="E53" s="43" t="str">
        <f>IF([1]JEs!D52=0,"",[1]JEs!D52)</f>
        <v/>
      </c>
      <c r="F53" s="43" t="str">
        <f>IF([1]JEs!E52=0,"",[1]JEs!E52)</f>
        <v>Cash and cash equivalents</v>
      </c>
      <c r="G53" s="43" t="str">
        <f>IF([1]JEs!F52=0,"",[1]JEs!F52)</f>
        <v/>
      </c>
      <c r="H53" s="43">
        <f>IF([1]JEs!G52=0,"",[1]JEs!G52)</f>
        <v>1666.6666666666667</v>
      </c>
      <c r="I53" s="43" t="str">
        <f>IF([1]JEs!H52=0,"",[1]JEs!H52)</f>
        <v>Payment for legal fee - September 2024</v>
      </c>
      <c r="J53" s="43"/>
      <c r="K53" s="10" t="str">
        <f t="shared" si="4"/>
        <v>Cash and cash equivalents</v>
      </c>
      <c r="L53" s="96">
        <f t="shared" si="5"/>
        <v>-1666.6666666666667</v>
      </c>
      <c r="M53" s="188" t="str">
        <f>VLOOKUP(K53,'Chart of Accounts'!$C:$D,2,0)</f>
        <v>Cash and equivalents</v>
      </c>
    </row>
    <row r="54" spans="2:13" ht="14.25" customHeight="1" outlineLevel="1" x14ac:dyDescent="0.25">
      <c r="B54" s="40">
        <f>+[1]JEs!B53</f>
        <v>45596</v>
      </c>
      <c r="C54" s="40">
        <f t="shared" si="2"/>
        <v>45596</v>
      </c>
      <c r="D54" s="40">
        <f t="shared" si="3"/>
        <v>45657</v>
      </c>
      <c r="E54" s="43" t="str">
        <f>IF([1]JEs!D53=0,"",[1]JEs!D53)</f>
        <v>Legal fee expense</v>
      </c>
      <c r="F54" s="43" t="str">
        <f>IF([1]JEs!E53=0,"",[1]JEs!E53)</f>
        <v/>
      </c>
      <c r="G54" s="43">
        <f>IF([1]JEs!F53=0,"",[1]JEs!F53)</f>
        <v>1666.6666666666667</v>
      </c>
      <c r="H54" s="43" t="str">
        <f>IF([1]JEs!G53=0,"",[1]JEs!G53)</f>
        <v/>
      </c>
      <c r="I54" s="43" t="str">
        <f>IF([1]JEs!H53=0,"",[1]JEs!H53)</f>
        <v>Legal fee incurred - October 2024</v>
      </c>
      <c r="J54" s="43"/>
      <c r="K54" s="10" t="str">
        <f t="shared" si="4"/>
        <v>Legal fee expense</v>
      </c>
      <c r="L54" s="96">
        <f t="shared" si="5"/>
        <v>1666.6666666666667</v>
      </c>
      <c r="M54" s="10" t="str">
        <f>VLOOKUP(K54,'Chart of Accounts'!$C:$D,2,0)</f>
        <v>Professional Fees</v>
      </c>
    </row>
    <row r="55" spans="2:13" ht="14.25" customHeight="1" outlineLevel="1" x14ac:dyDescent="0.25">
      <c r="B55" s="40">
        <f>+[1]JEs!B54</f>
        <v>45596</v>
      </c>
      <c r="C55" s="40">
        <f t="shared" si="2"/>
        <v>45596</v>
      </c>
      <c r="D55" s="40">
        <f t="shared" si="3"/>
        <v>45657</v>
      </c>
      <c r="E55" s="43" t="str">
        <f>IF([1]JEs!D54=0,"",[1]JEs!D54)</f>
        <v/>
      </c>
      <c r="F55" s="43" t="str">
        <f>IF([1]JEs!E54=0,"",[1]JEs!E54)</f>
        <v>Cash and cash equivalents</v>
      </c>
      <c r="G55" s="43" t="str">
        <f>IF([1]JEs!F54=0,"",[1]JEs!F54)</f>
        <v/>
      </c>
      <c r="H55" s="43">
        <f>IF([1]JEs!G54=0,"",[1]JEs!G54)</f>
        <v>1666.6666666666667</v>
      </c>
      <c r="I55" s="43" t="str">
        <f>IF([1]JEs!H54=0,"",[1]JEs!H54)</f>
        <v>Payment for legal fee - October 2024</v>
      </c>
      <c r="J55" s="43"/>
      <c r="K55" s="10" t="str">
        <f t="shared" si="4"/>
        <v>Cash and cash equivalents</v>
      </c>
      <c r="L55" s="96">
        <f t="shared" si="5"/>
        <v>-1666.6666666666667</v>
      </c>
      <c r="M55" s="188" t="str">
        <f>VLOOKUP(K55,'Chart of Accounts'!$C:$D,2,0)</f>
        <v>Cash and equivalents</v>
      </c>
    </row>
    <row r="56" spans="2:13" ht="14.25" customHeight="1" outlineLevel="1" x14ac:dyDescent="0.25">
      <c r="B56" s="40">
        <f>+[1]JEs!B55</f>
        <v>45626</v>
      </c>
      <c r="C56" s="40">
        <f t="shared" si="2"/>
        <v>45626</v>
      </c>
      <c r="D56" s="40">
        <f t="shared" si="3"/>
        <v>45657</v>
      </c>
      <c r="E56" s="43" t="str">
        <f>IF([1]JEs!D55=0,"",[1]JEs!D55)</f>
        <v>Legal fee expense</v>
      </c>
      <c r="F56" s="43" t="str">
        <f>IF([1]JEs!E55=0,"",[1]JEs!E55)</f>
        <v/>
      </c>
      <c r="G56" s="43">
        <f>IF([1]JEs!F55=0,"",[1]JEs!F55)</f>
        <v>1666.6666666666667</v>
      </c>
      <c r="H56" s="43" t="str">
        <f>IF([1]JEs!G55=0,"",[1]JEs!G55)</f>
        <v/>
      </c>
      <c r="I56" s="43" t="str">
        <f>IF([1]JEs!H55=0,"",[1]JEs!H55)</f>
        <v>Legal fee incurred - November 2024</v>
      </c>
      <c r="J56" s="43"/>
      <c r="K56" s="10" t="str">
        <f t="shared" si="4"/>
        <v>Legal fee expense</v>
      </c>
      <c r="L56" s="96">
        <f t="shared" si="5"/>
        <v>1666.6666666666667</v>
      </c>
      <c r="M56" s="10" t="str">
        <f>VLOOKUP(K56,'Chart of Accounts'!$C:$D,2,0)</f>
        <v>Professional Fees</v>
      </c>
    </row>
    <row r="57" spans="2:13" ht="14.25" customHeight="1" outlineLevel="1" x14ac:dyDescent="0.25">
      <c r="B57" s="40">
        <f>+[1]JEs!B56</f>
        <v>45626</v>
      </c>
      <c r="C57" s="40">
        <f t="shared" si="2"/>
        <v>45626</v>
      </c>
      <c r="D57" s="40">
        <f t="shared" si="3"/>
        <v>45657</v>
      </c>
      <c r="E57" s="43" t="str">
        <f>IF([1]JEs!D56=0,"",[1]JEs!D56)</f>
        <v/>
      </c>
      <c r="F57" s="43" t="str">
        <f>IF([1]JEs!E56=0,"",[1]JEs!E56)</f>
        <v>Cash and cash equivalents</v>
      </c>
      <c r="G57" s="43" t="str">
        <f>IF([1]JEs!F56=0,"",[1]JEs!F56)</f>
        <v/>
      </c>
      <c r="H57" s="43">
        <f>IF([1]JEs!G56=0,"",[1]JEs!G56)</f>
        <v>1666.6666666666667</v>
      </c>
      <c r="I57" s="43" t="str">
        <f>IF([1]JEs!H56=0,"",[1]JEs!H56)</f>
        <v>Payment for legal fee - November 2024</v>
      </c>
      <c r="J57" s="43"/>
      <c r="K57" s="10" t="str">
        <f t="shared" si="4"/>
        <v>Cash and cash equivalents</v>
      </c>
      <c r="L57" s="96">
        <f t="shared" si="5"/>
        <v>-1666.6666666666667</v>
      </c>
      <c r="M57" s="188" t="str">
        <f>VLOOKUP(K57,'Chart of Accounts'!$C:$D,2,0)</f>
        <v>Cash and equivalents</v>
      </c>
    </row>
    <row r="58" spans="2:13" ht="14.25" customHeight="1" outlineLevel="1" x14ac:dyDescent="0.25">
      <c r="B58" s="40">
        <f>+[1]JEs!B57</f>
        <v>45657</v>
      </c>
      <c r="C58" s="40">
        <f t="shared" si="2"/>
        <v>45657</v>
      </c>
      <c r="D58" s="40">
        <f t="shared" si="3"/>
        <v>45657</v>
      </c>
      <c r="E58" s="43" t="str">
        <f>IF([1]JEs!D57=0,"",[1]JEs!D57)</f>
        <v>Legal fee expense</v>
      </c>
      <c r="F58" s="43" t="str">
        <f>IF([1]JEs!E57=0,"",[1]JEs!E57)</f>
        <v/>
      </c>
      <c r="G58" s="43">
        <f>IF([1]JEs!F57=0,"",[1]JEs!F57)</f>
        <v>1666.6666666666667</v>
      </c>
      <c r="H58" s="43" t="str">
        <f>IF([1]JEs!G57=0,"",[1]JEs!G57)</f>
        <v/>
      </c>
      <c r="I58" s="43" t="str">
        <f>IF([1]JEs!H57=0,"",[1]JEs!H57)</f>
        <v>Legal fee incurred - December 2024</v>
      </c>
      <c r="J58" s="43"/>
      <c r="K58" s="10" t="str">
        <f t="shared" si="4"/>
        <v>Legal fee expense</v>
      </c>
      <c r="L58" s="96">
        <f t="shared" si="5"/>
        <v>1666.6666666666667</v>
      </c>
      <c r="M58" s="10" t="str">
        <f>VLOOKUP(K58,'Chart of Accounts'!$C:$D,2,0)</f>
        <v>Professional Fees</v>
      </c>
    </row>
    <row r="59" spans="2:13" ht="14.25" customHeight="1" outlineLevel="1" x14ac:dyDescent="0.25">
      <c r="B59" s="40">
        <f>+[1]JEs!B58</f>
        <v>45657</v>
      </c>
      <c r="C59" s="40">
        <f t="shared" si="2"/>
        <v>45657</v>
      </c>
      <c r="D59" s="40">
        <f t="shared" si="3"/>
        <v>45657</v>
      </c>
      <c r="E59" s="43" t="str">
        <f>IF([1]JEs!D58=0,"",[1]JEs!D58)</f>
        <v/>
      </c>
      <c r="F59" s="43" t="str">
        <f>IF([1]JEs!E58=0,"",[1]JEs!E58)</f>
        <v>Cash and cash equivalents</v>
      </c>
      <c r="G59" s="43" t="str">
        <f>IF([1]JEs!F58=0,"",[1]JEs!F58)</f>
        <v/>
      </c>
      <c r="H59" s="43">
        <f>IF([1]JEs!G58=0,"",[1]JEs!G58)</f>
        <v>1666.6666666666667</v>
      </c>
      <c r="I59" s="43" t="str">
        <f>IF([1]JEs!H58=0,"",[1]JEs!H58)</f>
        <v>Payment for legal fee - December 2024</v>
      </c>
      <c r="J59" s="43"/>
      <c r="K59" s="10" t="str">
        <f t="shared" si="4"/>
        <v>Cash and cash equivalents</v>
      </c>
      <c r="L59" s="96">
        <f t="shared" si="5"/>
        <v>-1666.6666666666667</v>
      </c>
      <c r="M59" s="188" t="str">
        <f>VLOOKUP(K59,'Chart of Accounts'!$C:$D,2,0)</f>
        <v>Cash and equivalents</v>
      </c>
    </row>
    <row r="60" spans="2:13" ht="14.25" customHeight="1" outlineLevel="1" x14ac:dyDescent="0.25">
      <c r="B60" s="40">
        <f>+[1]JEs!B59</f>
        <v>45322</v>
      </c>
      <c r="C60" s="40">
        <f t="shared" si="2"/>
        <v>45322</v>
      </c>
      <c r="D60" s="40">
        <f t="shared" si="3"/>
        <v>45382</v>
      </c>
      <c r="E60" s="43" t="str">
        <f>IF([1]JEs!D59=0,"",[1]JEs!D59)</f>
        <v>Director fee expense</v>
      </c>
      <c r="F60" s="43" t="str">
        <f>IF([1]JEs!E59=0,"",[1]JEs!E59)</f>
        <v/>
      </c>
      <c r="G60" s="43">
        <f>IF([1]JEs!F59=0,"",[1]JEs!F59)</f>
        <v>666.66666666666663</v>
      </c>
      <c r="H60" s="43" t="str">
        <f>IF([1]JEs!G59=0,"",[1]JEs!G59)</f>
        <v/>
      </c>
      <c r="I60" s="43" t="str">
        <f>IF([1]JEs!H59=0,"",[1]JEs!H59)</f>
        <v>Director fee incurred - January 2024</v>
      </c>
      <c r="J60" s="43"/>
      <c r="K60" s="10" t="str">
        <f t="shared" si="4"/>
        <v>Director fee expense</v>
      </c>
      <c r="L60" s="96">
        <f t="shared" si="5"/>
        <v>666.66666666666663</v>
      </c>
      <c r="M60" s="10" t="str">
        <f>VLOOKUP(K60,'Chart of Accounts'!$C:$D,2,0)</f>
        <v>Professional Fees</v>
      </c>
    </row>
    <row r="61" spans="2:13" ht="14.25" customHeight="1" outlineLevel="1" x14ac:dyDescent="0.25">
      <c r="B61" s="40">
        <f>+[1]JEs!B60</f>
        <v>45322</v>
      </c>
      <c r="C61" s="40">
        <f t="shared" si="2"/>
        <v>45322</v>
      </c>
      <c r="D61" s="40">
        <f t="shared" si="3"/>
        <v>45382</v>
      </c>
      <c r="E61" s="43" t="str">
        <f>IF([1]JEs!D60=0,"",[1]JEs!D60)</f>
        <v/>
      </c>
      <c r="F61" s="43" t="str">
        <f>IF([1]JEs!E60=0,"",[1]JEs!E60)</f>
        <v>Cash and cash equivalents</v>
      </c>
      <c r="G61" s="43" t="str">
        <f>IF([1]JEs!F60=0,"",[1]JEs!F60)</f>
        <v/>
      </c>
      <c r="H61" s="43">
        <f>IF([1]JEs!G60=0,"",[1]JEs!G60)</f>
        <v>666.66666666666663</v>
      </c>
      <c r="I61" s="43" t="str">
        <f>IF([1]JEs!H60=0,"",[1]JEs!H60)</f>
        <v>Payment for Director fee - January, 2024</v>
      </c>
      <c r="J61" s="43"/>
      <c r="K61" s="10" t="str">
        <f t="shared" si="4"/>
        <v>Cash and cash equivalents</v>
      </c>
      <c r="L61" s="96">
        <f t="shared" si="5"/>
        <v>-666.66666666666663</v>
      </c>
      <c r="M61" s="188" t="str">
        <f>VLOOKUP(K61,'Chart of Accounts'!$C:$D,2,0)</f>
        <v>Cash and equivalents</v>
      </c>
    </row>
    <row r="62" spans="2:13" ht="14.25" customHeight="1" outlineLevel="1" x14ac:dyDescent="0.25">
      <c r="B62" s="40">
        <f>+[1]JEs!B61</f>
        <v>45351</v>
      </c>
      <c r="C62" s="40">
        <f t="shared" si="2"/>
        <v>45351</v>
      </c>
      <c r="D62" s="40">
        <f t="shared" si="3"/>
        <v>45382</v>
      </c>
      <c r="E62" s="43" t="str">
        <f>IF([1]JEs!D61=0,"",[1]JEs!D61)</f>
        <v>Director fee expense</v>
      </c>
      <c r="F62" s="43" t="str">
        <f>IF([1]JEs!E61=0,"",[1]JEs!E61)</f>
        <v/>
      </c>
      <c r="G62" s="43">
        <f>IF([1]JEs!F61=0,"",[1]JEs!F61)</f>
        <v>666.66666666666663</v>
      </c>
      <c r="H62" s="43" t="str">
        <f>IF([1]JEs!G61=0,"",[1]JEs!G61)</f>
        <v/>
      </c>
      <c r="I62" s="43" t="str">
        <f>IF([1]JEs!H61=0,"",[1]JEs!H61)</f>
        <v>Director fee incurred - February 2024</v>
      </c>
      <c r="J62" s="43"/>
      <c r="K62" s="10" t="str">
        <f t="shared" si="4"/>
        <v>Director fee expense</v>
      </c>
      <c r="L62" s="96">
        <f t="shared" si="5"/>
        <v>666.66666666666663</v>
      </c>
      <c r="M62" s="10" t="str">
        <f>VLOOKUP(K62,'Chart of Accounts'!$C:$D,2,0)</f>
        <v>Professional Fees</v>
      </c>
    </row>
    <row r="63" spans="2:13" ht="14.25" customHeight="1" outlineLevel="1" x14ac:dyDescent="0.25">
      <c r="B63" s="40">
        <f>+[1]JEs!B62</f>
        <v>45351</v>
      </c>
      <c r="C63" s="40">
        <f t="shared" si="2"/>
        <v>45351</v>
      </c>
      <c r="D63" s="40">
        <f t="shared" si="3"/>
        <v>45382</v>
      </c>
      <c r="E63" s="43" t="str">
        <f>IF([1]JEs!D62=0,"",[1]JEs!D62)</f>
        <v/>
      </c>
      <c r="F63" s="43" t="str">
        <f>IF([1]JEs!E62=0,"",[1]JEs!E62)</f>
        <v>Cash and cash equivalents</v>
      </c>
      <c r="G63" s="43" t="str">
        <f>IF([1]JEs!F62=0,"",[1]JEs!F62)</f>
        <v/>
      </c>
      <c r="H63" s="43">
        <f>IF([1]JEs!G62=0,"",[1]JEs!G62)</f>
        <v>666.66666666666663</v>
      </c>
      <c r="I63" s="43" t="str">
        <f>IF([1]JEs!H62=0,"",[1]JEs!H62)</f>
        <v>Payment for Director fee - February, 2024</v>
      </c>
      <c r="J63" s="43"/>
      <c r="K63" s="10" t="str">
        <f t="shared" si="4"/>
        <v>Cash and cash equivalents</v>
      </c>
      <c r="L63" s="96">
        <f t="shared" si="5"/>
        <v>-666.66666666666663</v>
      </c>
      <c r="M63" s="188" t="str">
        <f>VLOOKUP(K63,'Chart of Accounts'!$C:$D,2,0)</f>
        <v>Cash and equivalents</v>
      </c>
    </row>
    <row r="64" spans="2:13" ht="14.25" customHeight="1" outlineLevel="1" x14ac:dyDescent="0.25">
      <c r="B64" s="40">
        <f>+[1]JEs!B63</f>
        <v>45382</v>
      </c>
      <c r="C64" s="40">
        <f t="shared" si="2"/>
        <v>45382</v>
      </c>
      <c r="D64" s="40">
        <f t="shared" si="3"/>
        <v>45382</v>
      </c>
      <c r="E64" s="43" t="str">
        <f>IF([1]JEs!D63=0,"",[1]JEs!D63)</f>
        <v>Director fee expense</v>
      </c>
      <c r="F64" s="43" t="str">
        <f>IF([1]JEs!E63=0,"",[1]JEs!E63)</f>
        <v/>
      </c>
      <c r="G64" s="43">
        <f>IF([1]JEs!F63=0,"",[1]JEs!F63)</f>
        <v>666.66666666666663</v>
      </c>
      <c r="H64" s="43" t="str">
        <f>IF([1]JEs!G63=0,"",[1]JEs!G63)</f>
        <v/>
      </c>
      <c r="I64" s="43" t="str">
        <f>IF([1]JEs!H63=0,"",[1]JEs!H63)</f>
        <v>Director fee incurred - March 2024</v>
      </c>
      <c r="J64" s="43"/>
      <c r="K64" s="10" t="str">
        <f t="shared" si="4"/>
        <v>Director fee expense</v>
      </c>
      <c r="L64" s="96">
        <f t="shared" si="5"/>
        <v>666.66666666666663</v>
      </c>
      <c r="M64" s="10" t="str">
        <f>VLOOKUP(K64,'Chart of Accounts'!$C:$D,2,0)</f>
        <v>Professional Fees</v>
      </c>
    </row>
    <row r="65" spans="2:13" ht="14.25" customHeight="1" outlineLevel="1" x14ac:dyDescent="0.25">
      <c r="B65" s="40">
        <f>+[1]JEs!B64</f>
        <v>45382</v>
      </c>
      <c r="C65" s="40">
        <f t="shared" si="2"/>
        <v>45382</v>
      </c>
      <c r="D65" s="40">
        <f t="shared" si="3"/>
        <v>45382</v>
      </c>
      <c r="E65" s="43" t="str">
        <f>IF([1]JEs!D64=0,"",[1]JEs!D64)</f>
        <v/>
      </c>
      <c r="F65" s="43" t="str">
        <f>IF([1]JEs!E64=0,"",[1]JEs!E64)</f>
        <v>Cash and cash equivalents</v>
      </c>
      <c r="G65" s="43" t="str">
        <f>IF([1]JEs!F64=0,"",[1]JEs!F64)</f>
        <v/>
      </c>
      <c r="H65" s="43">
        <f>IF([1]JEs!G64=0,"",[1]JEs!G64)</f>
        <v>666.66666666666663</v>
      </c>
      <c r="I65" s="43" t="str">
        <f>IF([1]JEs!H64=0,"",[1]JEs!H64)</f>
        <v>Payment for Director fee - March, 2024</v>
      </c>
      <c r="J65" s="43"/>
      <c r="K65" s="10" t="str">
        <f t="shared" si="4"/>
        <v>Cash and cash equivalents</v>
      </c>
      <c r="L65" s="96">
        <f t="shared" si="5"/>
        <v>-666.66666666666663</v>
      </c>
      <c r="M65" s="188" t="str">
        <f>VLOOKUP(K65,'Chart of Accounts'!$C:$D,2,0)</f>
        <v>Cash and equivalents</v>
      </c>
    </row>
    <row r="66" spans="2:13" ht="14.25" customHeight="1" outlineLevel="1" x14ac:dyDescent="0.25">
      <c r="B66" s="40">
        <f>+[1]JEs!B65</f>
        <v>45412</v>
      </c>
      <c r="C66" s="40">
        <f t="shared" si="2"/>
        <v>45412</v>
      </c>
      <c r="D66" s="40">
        <f t="shared" si="3"/>
        <v>45473</v>
      </c>
      <c r="E66" s="43" t="str">
        <f>IF([1]JEs!D65=0,"",[1]JEs!D65)</f>
        <v>Director fee expense</v>
      </c>
      <c r="F66" s="43" t="str">
        <f>IF([1]JEs!E65=0,"",[1]JEs!E65)</f>
        <v/>
      </c>
      <c r="G66" s="43">
        <f>IF([1]JEs!F65=0,"",[1]JEs!F65)</f>
        <v>666.66666666666663</v>
      </c>
      <c r="H66" s="43" t="str">
        <f>IF([1]JEs!G65=0,"",[1]JEs!G65)</f>
        <v/>
      </c>
      <c r="I66" s="43" t="str">
        <f>IF([1]JEs!H65=0,"",[1]JEs!H65)</f>
        <v>Director fee incurred - April 2024</v>
      </c>
      <c r="J66" s="43"/>
      <c r="K66" s="10" t="str">
        <f t="shared" si="4"/>
        <v>Director fee expense</v>
      </c>
      <c r="L66" s="96">
        <f t="shared" si="5"/>
        <v>666.66666666666663</v>
      </c>
      <c r="M66" s="10" t="str">
        <f>VLOOKUP(K66,'Chart of Accounts'!$C:$D,2,0)</f>
        <v>Professional Fees</v>
      </c>
    </row>
    <row r="67" spans="2:13" ht="14.25" customHeight="1" outlineLevel="1" x14ac:dyDescent="0.25">
      <c r="B67" s="40">
        <f>+[1]JEs!B66</f>
        <v>45412</v>
      </c>
      <c r="C67" s="40">
        <f t="shared" si="2"/>
        <v>45412</v>
      </c>
      <c r="D67" s="40">
        <f t="shared" si="3"/>
        <v>45473</v>
      </c>
      <c r="E67" s="43" t="str">
        <f>IF([1]JEs!D66=0,"",[1]JEs!D66)</f>
        <v/>
      </c>
      <c r="F67" s="43" t="str">
        <f>IF([1]JEs!E66=0,"",[1]JEs!E66)</f>
        <v>Cash and cash equivalents</v>
      </c>
      <c r="G67" s="43" t="str">
        <f>IF([1]JEs!F66=0,"",[1]JEs!F66)</f>
        <v/>
      </c>
      <c r="H67" s="43">
        <f>IF([1]JEs!G66=0,"",[1]JEs!G66)</f>
        <v>666.66666666666663</v>
      </c>
      <c r="I67" s="43" t="str">
        <f>IF([1]JEs!H66=0,"",[1]JEs!H66)</f>
        <v>Payment for Director fee - April, 2024</v>
      </c>
      <c r="J67" s="43"/>
      <c r="K67" s="10" t="str">
        <f t="shared" si="4"/>
        <v>Cash and cash equivalents</v>
      </c>
      <c r="L67" s="96">
        <f t="shared" si="5"/>
        <v>-666.66666666666663</v>
      </c>
      <c r="M67" s="188" t="str">
        <f>VLOOKUP(K67,'Chart of Accounts'!$C:$D,2,0)</f>
        <v>Cash and equivalents</v>
      </c>
    </row>
    <row r="68" spans="2:13" ht="14.25" customHeight="1" outlineLevel="1" x14ac:dyDescent="0.25">
      <c r="B68" s="40">
        <f>+[1]JEs!B67</f>
        <v>45443</v>
      </c>
      <c r="C68" s="40">
        <f t="shared" si="2"/>
        <v>45443</v>
      </c>
      <c r="D68" s="40">
        <f t="shared" si="3"/>
        <v>45473</v>
      </c>
      <c r="E68" s="43" t="str">
        <f>IF([1]JEs!D67=0,"",[1]JEs!D67)</f>
        <v>Director fee expense</v>
      </c>
      <c r="F68" s="43" t="str">
        <f>IF([1]JEs!E67=0,"",[1]JEs!E67)</f>
        <v/>
      </c>
      <c r="G68" s="43">
        <f>IF([1]JEs!F67=0,"",[1]JEs!F67)</f>
        <v>666.66666666666663</v>
      </c>
      <c r="H68" s="43" t="str">
        <f>IF([1]JEs!G67=0,"",[1]JEs!G67)</f>
        <v/>
      </c>
      <c r="I68" s="43" t="str">
        <f>IF([1]JEs!H67=0,"",[1]JEs!H67)</f>
        <v>Director fee incurred - May 2024</v>
      </c>
      <c r="J68" s="43"/>
      <c r="K68" s="10" t="str">
        <f t="shared" si="4"/>
        <v>Director fee expense</v>
      </c>
      <c r="L68" s="96">
        <f t="shared" si="5"/>
        <v>666.66666666666663</v>
      </c>
      <c r="M68" s="10" t="str">
        <f>VLOOKUP(K68,'Chart of Accounts'!$C:$D,2,0)</f>
        <v>Professional Fees</v>
      </c>
    </row>
    <row r="69" spans="2:13" ht="14.25" customHeight="1" outlineLevel="1" x14ac:dyDescent="0.25">
      <c r="B69" s="40">
        <f>+[1]JEs!B68</f>
        <v>45443</v>
      </c>
      <c r="C69" s="40">
        <f t="shared" si="2"/>
        <v>45443</v>
      </c>
      <c r="D69" s="40">
        <f t="shared" si="3"/>
        <v>45473</v>
      </c>
      <c r="E69" s="43" t="str">
        <f>IF([1]JEs!D68=0,"",[1]JEs!D68)</f>
        <v/>
      </c>
      <c r="F69" s="43" t="str">
        <f>IF([1]JEs!E68=0,"",[1]JEs!E68)</f>
        <v>Cash and cash equivalents</v>
      </c>
      <c r="G69" s="43" t="str">
        <f>IF([1]JEs!F68=0,"",[1]JEs!F68)</f>
        <v/>
      </c>
      <c r="H69" s="43">
        <f>IF([1]JEs!G68=0,"",[1]JEs!G68)</f>
        <v>666.66666666666663</v>
      </c>
      <c r="I69" s="43" t="str">
        <f>IF([1]JEs!H68=0,"",[1]JEs!H68)</f>
        <v>Payment for Director fee - May, 2024</v>
      </c>
      <c r="J69" s="43"/>
      <c r="K69" s="10" t="str">
        <f t="shared" si="4"/>
        <v>Cash and cash equivalents</v>
      </c>
      <c r="L69" s="96">
        <f t="shared" si="5"/>
        <v>-666.66666666666663</v>
      </c>
      <c r="M69" s="188" t="str">
        <f>VLOOKUP(K69,'Chart of Accounts'!$C:$D,2,0)</f>
        <v>Cash and equivalents</v>
      </c>
    </row>
    <row r="70" spans="2:13" ht="14.25" customHeight="1" outlineLevel="1" x14ac:dyDescent="0.25">
      <c r="B70" s="40">
        <f>+[1]JEs!B69</f>
        <v>45473</v>
      </c>
      <c r="C70" s="40">
        <f t="shared" ref="C70:C133" si="6">EOMONTH(B70,0)</f>
        <v>45473</v>
      </c>
      <c r="D70" s="40">
        <f t="shared" ref="D70:D133" si="7">EOMONTH(B70,CEILING(MONTH(B70),3)-MONTH(B70))</f>
        <v>45473</v>
      </c>
      <c r="E70" s="43" t="str">
        <f>IF([1]JEs!D69=0,"",[1]JEs!D69)</f>
        <v>Director fee expense</v>
      </c>
      <c r="F70" s="43" t="str">
        <f>IF([1]JEs!E69=0,"",[1]JEs!E69)</f>
        <v/>
      </c>
      <c r="G70" s="43">
        <f>IF([1]JEs!F69=0,"",[1]JEs!F69)</f>
        <v>666.66666666666663</v>
      </c>
      <c r="H70" s="43" t="str">
        <f>IF([1]JEs!G69=0,"",[1]JEs!G69)</f>
        <v/>
      </c>
      <c r="I70" s="43" t="str">
        <f>IF([1]JEs!H69=0,"",[1]JEs!H69)</f>
        <v>Director fee incurred - June 2024</v>
      </c>
      <c r="J70" s="43"/>
      <c r="K70" s="10" t="str">
        <f t="shared" ref="K70:K133" si="8">TRIM(E70&amp;F70)</f>
        <v>Director fee expense</v>
      </c>
      <c r="L70" s="96">
        <f t="shared" ref="L70:L133" si="9">IF(G70="",-H70,G70)</f>
        <v>666.66666666666663</v>
      </c>
      <c r="M70" s="10" t="str">
        <f>VLOOKUP(K70,'Chart of Accounts'!$C:$D,2,0)</f>
        <v>Professional Fees</v>
      </c>
    </row>
    <row r="71" spans="2:13" ht="14.25" customHeight="1" outlineLevel="1" x14ac:dyDescent="0.25">
      <c r="B71" s="40">
        <f>+[1]JEs!B70</f>
        <v>45473</v>
      </c>
      <c r="C71" s="40">
        <f t="shared" si="6"/>
        <v>45473</v>
      </c>
      <c r="D71" s="40">
        <f t="shared" si="7"/>
        <v>45473</v>
      </c>
      <c r="E71" s="43" t="str">
        <f>IF([1]JEs!D70=0,"",[1]JEs!D70)</f>
        <v/>
      </c>
      <c r="F71" s="43" t="str">
        <f>IF([1]JEs!E70=0,"",[1]JEs!E70)</f>
        <v>Cash and cash equivalents</v>
      </c>
      <c r="G71" s="43" t="str">
        <f>IF([1]JEs!F70=0,"",[1]JEs!F70)</f>
        <v/>
      </c>
      <c r="H71" s="43">
        <f>IF([1]JEs!G70=0,"",[1]JEs!G70)</f>
        <v>666.66666666666663</v>
      </c>
      <c r="I71" s="43" t="str">
        <f>IF([1]JEs!H70=0,"",[1]JEs!H70)</f>
        <v>Payment for Director fee - June, 2024</v>
      </c>
      <c r="J71" s="43"/>
      <c r="K71" s="10" t="str">
        <f t="shared" si="8"/>
        <v>Cash and cash equivalents</v>
      </c>
      <c r="L71" s="96">
        <f t="shared" si="9"/>
        <v>-666.66666666666663</v>
      </c>
      <c r="M71" s="188" t="str">
        <f>VLOOKUP(K71,'Chart of Accounts'!$C:$D,2,0)</f>
        <v>Cash and equivalents</v>
      </c>
    </row>
    <row r="72" spans="2:13" ht="14.25" customHeight="1" outlineLevel="1" x14ac:dyDescent="0.25">
      <c r="B72" s="40">
        <f>+[1]JEs!B71</f>
        <v>45504</v>
      </c>
      <c r="C72" s="40">
        <f t="shared" si="6"/>
        <v>45504</v>
      </c>
      <c r="D72" s="40">
        <f t="shared" si="7"/>
        <v>45565</v>
      </c>
      <c r="E72" s="43" t="str">
        <f>IF([1]JEs!D71=0,"",[1]JEs!D71)</f>
        <v>Director fee expense</v>
      </c>
      <c r="F72" s="43" t="str">
        <f>IF([1]JEs!E71=0,"",[1]JEs!E71)</f>
        <v/>
      </c>
      <c r="G72" s="43">
        <f>IF([1]JEs!F71=0,"",[1]JEs!F71)</f>
        <v>666.66666666666663</v>
      </c>
      <c r="H72" s="43" t="str">
        <f>IF([1]JEs!G71=0,"",[1]JEs!G71)</f>
        <v/>
      </c>
      <c r="I72" s="43" t="str">
        <f>IF([1]JEs!H71=0,"",[1]JEs!H71)</f>
        <v>Director fee incurred - July 2024</v>
      </c>
      <c r="J72" s="43"/>
      <c r="K72" s="10" t="str">
        <f t="shared" si="8"/>
        <v>Director fee expense</v>
      </c>
      <c r="L72" s="96">
        <f t="shared" si="9"/>
        <v>666.66666666666663</v>
      </c>
      <c r="M72" s="10" t="str">
        <f>VLOOKUP(K72,'Chart of Accounts'!$C:$D,2,0)</f>
        <v>Professional Fees</v>
      </c>
    </row>
    <row r="73" spans="2:13" ht="14.25" customHeight="1" outlineLevel="1" x14ac:dyDescent="0.25">
      <c r="B73" s="40">
        <f>+[1]JEs!B72</f>
        <v>45504</v>
      </c>
      <c r="C73" s="40">
        <f t="shared" si="6"/>
        <v>45504</v>
      </c>
      <c r="D73" s="40">
        <f t="shared" si="7"/>
        <v>45565</v>
      </c>
      <c r="E73" s="43" t="str">
        <f>IF([1]JEs!D72=0,"",[1]JEs!D72)</f>
        <v/>
      </c>
      <c r="F73" s="43" t="str">
        <f>IF([1]JEs!E72=0,"",[1]JEs!E72)</f>
        <v>Cash and cash equivalents</v>
      </c>
      <c r="G73" s="43" t="str">
        <f>IF([1]JEs!F72=0,"",[1]JEs!F72)</f>
        <v/>
      </c>
      <c r="H73" s="43">
        <f>IF([1]JEs!G72=0,"",[1]JEs!G72)</f>
        <v>666.66666666666663</v>
      </c>
      <c r="I73" s="43" t="str">
        <f>IF([1]JEs!H72=0,"",[1]JEs!H72)</f>
        <v>Payment for Director fee - July, 2024</v>
      </c>
      <c r="J73" s="43"/>
      <c r="K73" s="10" t="str">
        <f t="shared" si="8"/>
        <v>Cash and cash equivalents</v>
      </c>
      <c r="L73" s="96">
        <f t="shared" si="9"/>
        <v>-666.66666666666663</v>
      </c>
      <c r="M73" s="188" t="str">
        <f>VLOOKUP(K73,'Chart of Accounts'!$C:$D,2,0)</f>
        <v>Cash and equivalents</v>
      </c>
    </row>
    <row r="74" spans="2:13" ht="14.25" customHeight="1" outlineLevel="1" x14ac:dyDescent="0.25">
      <c r="B74" s="40">
        <f>+[1]JEs!B73</f>
        <v>45535</v>
      </c>
      <c r="C74" s="40">
        <f t="shared" si="6"/>
        <v>45535</v>
      </c>
      <c r="D74" s="40">
        <f t="shared" si="7"/>
        <v>45565</v>
      </c>
      <c r="E74" s="43" t="str">
        <f>IF([1]JEs!D73=0,"",[1]JEs!D73)</f>
        <v>Director fee expense</v>
      </c>
      <c r="F74" s="43" t="str">
        <f>IF([1]JEs!E73=0,"",[1]JEs!E73)</f>
        <v/>
      </c>
      <c r="G74" s="43">
        <f>IF([1]JEs!F73=0,"",[1]JEs!F73)</f>
        <v>666.66666666666663</v>
      </c>
      <c r="H74" s="43" t="str">
        <f>IF([1]JEs!G73=0,"",[1]JEs!G73)</f>
        <v/>
      </c>
      <c r="I74" s="43" t="str">
        <f>IF([1]JEs!H73=0,"",[1]JEs!H73)</f>
        <v>Director fee incurred - August 2024</v>
      </c>
      <c r="J74" s="43"/>
      <c r="K74" s="10" t="str">
        <f t="shared" si="8"/>
        <v>Director fee expense</v>
      </c>
      <c r="L74" s="96">
        <f t="shared" si="9"/>
        <v>666.66666666666663</v>
      </c>
      <c r="M74" s="10" t="str">
        <f>VLOOKUP(K74,'Chart of Accounts'!$C:$D,2,0)</f>
        <v>Professional Fees</v>
      </c>
    </row>
    <row r="75" spans="2:13" ht="14.25" customHeight="1" outlineLevel="1" x14ac:dyDescent="0.25">
      <c r="B75" s="40">
        <f>+[1]JEs!B74</f>
        <v>45535</v>
      </c>
      <c r="C75" s="40">
        <f t="shared" si="6"/>
        <v>45535</v>
      </c>
      <c r="D75" s="40">
        <f t="shared" si="7"/>
        <v>45565</v>
      </c>
      <c r="E75" s="43" t="str">
        <f>IF([1]JEs!D74=0,"",[1]JEs!D74)</f>
        <v/>
      </c>
      <c r="F75" s="43" t="str">
        <f>IF([1]JEs!E74=0,"",[1]JEs!E74)</f>
        <v>Cash and cash equivalents</v>
      </c>
      <c r="G75" s="43" t="str">
        <f>IF([1]JEs!F74=0,"",[1]JEs!F74)</f>
        <v/>
      </c>
      <c r="H75" s="43">
        <f>IF([1]JEs!G74=0,"",[1]JEs!G74)</f>
        <v>666.66666666666663</v>
      </c>
      <c r="I75" s="43" t="str">
        <f>IF([1]JEs!H74=0,"",[1]JEs!H74)</f>
        <v>Payment for Director fee - August, 2024</v>
      </c>
      <c r="J75" s="43"/>
      <c r="K75" s="10" t="str">
        <f t="shared" si="8"/>
        <v>Cash and cash equivalents</v>
      </c>
      <c r="L75" s="96">
        <f t="shared" si="9"/>
        <v>-666.66666666666663</v>
      </c>
      <c r="M75" s="188" t="str">
        <f>VLOOKUP(K75,'Chart of Accounts'!$C:$D,2,0)</f>
        <v>Cash and equivalents</v>
      </c>
    </row>
    <row r="76" spans="2:13" ht="14.25" customHeight="1" outlineLevel="1" x14ac:dyDescent="0.25">
      <c r="B76" s="40">
        <f>+[1]JEs!B75</f>
        <v>45565</v>
      </c>
      <c r="C76" s="40">
        <f t="shared" si="6"/>
        <v>45565</v>
      </c>
      <c r="D76" s="40">
        <f t="shared" si="7"/>
        <v>45565</v>
      </c>
      <c r="E76" s="43" t="str">
        <f>IF([1]JEs!D75=0,"",[1]JEs!D75)</f>
        <v>Director fee expense</v>
      </c>
      <c r="F76" s="43" t="str">
        <f>IF([1]JEs!E75=0,"",[1]JEs!E75)</f>
        <v/>
      </c>
      <c r="G76" s="43">
        <f>IF([1]JEs!F75=0,"",[1]JEs!F75)</f>
        <v>666.66666666666663</v>
      </c>
      <c r="H76" s="43" t="str">
        <f>IF([1]JEs!G75=0,"",[1]JEs!G75)</f>
        <v/>
      </c>
      <c r="I76" s="43" t="str">
        <f>IF([1]JEs!H75=0,"",[1]JEs!H75)</f>
        <v>Director fee incurred - September 2024</v>
      </c>
      <c r="J76" s="43"/>
      <c r="K76" s="10" t="str">
        <f t="shared" si="8"/>
        <v>Director fee expense</v>
      </c>
      <c r="L76" s="96">
        <f t="shared" si="9"/>
        <v>666.66666666666663</v>
      </c>
      <c r="M76" s="10" t="str">
        <f>VLOOKUP(K76,'Chart of Accounts'!$C:$D,2,0)</f>
        <v>Professional Fees</v>
      </c>
    </row>
    <row r="77" spans="2:13" ht="14.25" customHeight="1" outlineLevel="1" x14ac:dyDescent="0.25">
      <c r="B77" s="40">
        <f>+[1]JEs!B76</f>
        <v>45565</v>
      </c>
      <c r="C77" s="40">
        <f t="shared" si="6"/>
        <v>45565</v>
      </c>
      <c r="D77" s="40">
        <f t="shared" si="7"/>
        <v>45565</v>
      </c>
      <c r="E77" s="43" t="str">
        <f>IF([1]JEs!D76=0,"",[1]JEs!D76)</f>
        <v/>
      </c>
      <c r="F77" s="43" t="str">
        <f>IF([1]JEs!E76=0,"",[1]JEs!E76)</f>
        <v>Cash and cash equivalents</v>
      </c>
      <c r="G77" s="43" t="str">
        <f>IF([1]JEs!F76=0,"",[1]JEs!F76)</f>
        <v/>
      </c>
      <c r="H77" s="43">
        <f>IF([1]JEs!G76=0,"",[1]JEs!G76)</f>
        <v>666.66666666666663</v>
      </c>
      <c r="I77" s="43" t="str">
        <f>IF([1]JEs!H76=0,"",[1]JEs!H76)</f>
        <v>Payment for Director fee - September, 2024</v>
      </c>
      <c r="J77" s="43"/>
      <c r="K77" s="10" t="str">
        <f t="shared" si="8"/>
        <v>Cash and cash equivalents</v>
      </c>
      <c r="L77" s="96">
        <f t="shared" si="9"/>
        <v>-666.66666666666663</v>
      </c>
      <c r="M77" s="188" t="str">
        <f>VLOOKUP(K77,'Chart of Accounts'!$C:$D,2,0)</f>
        <v>Cash and equivalents</v>
      </c>
    </row>
    <row r="78" spans="2:13" ht="14.25" customHeight="1" outlineLevel="1" x14ac:dyDescent="0.25">
      <c r="B78" s="40">
        <f>+[1]JEs!B77</f>
        <v>45596</v>
      </c>
      <c r="C78" s="40">
        <f t="shared" si="6"/>
        <v>45596</v>
      </c>
      <c r="D78" s="40">
        <f t="shared" si="7"/>
        <v>45657</v>
      </c>
      <c r="E78" s="43" t="str">
        <f>IF([1]JEs!D77=0,"",[1]JEs!D77)</f>
        <v>Director fee expense</v>
      </c>
      <c r="F78" s="43" t="str">
        <f>IF([1]JEs!E77=0,"",[1]JEs!E77)</f>
        <v/>
      </c>
      <c r="G78" s="43">
        <f>IF([1]JEs!F77=0,"",[1]JEs!F77)</f>
        <v>666.66666666666663</v>
      </c>
      <c r="H78" s="43" t="str">
        <f>IF([1]JEs!G77=0,"",[1]JEs!G77)</f>
        <v/>
      </c>
      <c r="I78" s="43" t="str">
        <f>IF([1]JEs!H77=0,"",[1]JEs!H77)</f>
        <v>Director fee incurred - October 2024</v>
      </c>
      <c r="J78" s="43"/>
      <c r="K78" s="10" t="str">
        <f t="shared" si="8"/>
        <v>Director fee expense</v>
      </c>
      <c r="L78" s="96">
        <f t="shared" si="9"/>
        <v>666.66666666666663</v>
      </c>
      <c r="M78" s="10" t="str">
        <f>VLOOKUP(K78,'Chart of Accounts'!$C:$D,2,0)</f>
        <v>Professional Fees</v>
      </c>
    </row>
    <row r="79" spans="2:13" ht="14.25" customHeight="1" outlineLevel="1" x14ac:dyDescent="0.25">
      <c r="B79" s="40">
        <f>+[1]JEs!B78</f>
        <v>45596</v>
      </c>
      <c r="C79" s="40">
        <f t="shared" si="6"/>
        <v>45596</v>
      </c>
      <c r="D79" s="40">
        <f t="shared" si="7"/>
        <v>45657</v>
      </c>
      <c r="E79" s="43" t="str">
        <f>IF([1]JEs!D78=0,"",[1]JEs!D78)</f>
        <v/>
      </c>
      <c r="F79" s="43" t="str">
        <f>IF([1]JEs!E78=0,"",[1]JEs!E78)</f>
        <v>Cash and cash equivalents</v>
      </c>
      <c r="G79" s="43" t="str">
        <f>IF([1]JEs!F78=0,"",[1]JEs!F78)</f>
        <v/>
      </c>
      <c r="H79" s="43">
        <f>IF([1]JEs!G78=0,"",[1]JEs!G78)</f>
        <v>666.66666666666663</v>
      </c>
      <c r="I79" s="43" t="str">
        <f>IF([1]JEs!H78=0,"",[1]JEs!H78)</f>
        <v>Payment for Director fee - October, 2024</v>
      </c>
      <c r="J79" s="43"/>
      <c r="K79" s="10" t="str">
        <f t="shared" si="8"/>
        <v>Cash and cash equivalents</v>
      </c>
      <c r="L79" s="96">
        <f t="shared" si="9"/>
        <v>-666.66666666666663</v>
      </c>
      <c r="M79" s="188" t="str">
        <f>VLOOKUP(K79,'Chart of Accounts'!$C:$D,2,0)</f>
        <v>Cash and equivalents</v>
      </c>
    </row>
    <row r="80" spans="2:13" ht="14.25" customHeight="1" outlineLevel="1" x14ac:dyDescent="0.25">
      <c r="B80" s="40">
        <f>+[1]JEs!B79</f>
        <v>45626</v>
      </c>
      <c r="C80" s="40">
        <f t="shared" si="6"/>
        <v>45626</v>
      </c>
      <c r="D80" s="40">
        <f t="shared" si="7"/>
        <v>45657</v>
      </c>
      <c r="E80" s="43" t="str">
        <f>IF([1]JEs!D79=0,"",[1]JEs!D79)</f>
        <v>Director fee expense</v>
      </c>
      <c r="F80" s="43" t="str">
        <f>IF([1]JEs!E79=0,"",[1]JEs!E79)</f>
        <v/>
      </c>
      <c r="G80" s="43">
        <f>IF([1]JEs!F79=0,"",[1]JEs!F79)</f>
        <v>666.66666666666663</v>
      </c>
      <c r="H80" s="43" t="str">
        <f>IF([1]JEs!G79=0,"",[1]JEs!G79)</f>
        <v/>
      </c>
      <c r="I80" s="43" t="str">
        <f>IF([1]JEs!H79=0,"",[1]JEs!H79)</f>
        <v>Director fee incurred - November 2024</v>
      </c>
      <c r="J80" s="43"/>
      <c r="K80" s="10" t="str">
        <f t="shared" si="8"/>
        <v>Director fee expense</v>
      </c>
      <c r="L80" s="96">
        <f t="shared" si="9"/>
        <v>666.66666666666663</v>
      </c>
      <c r="M80" s="10" t="str">
        <f>VLOOKUP(K80,'Chart of Accounts'!$C:$D,2,0)</f>
        <v>Professional Fees</v>
      </c>
    </row>
    <row r="81" spans="2:13" ht="14.25" customHeight="1" outlineLevel="1" x14ac:dyDescent="0.25">
      <c r="B81" s="40">
        <f>+[1]JEs!B80</f>
        <v>45626</v>
      </c>
      <c r="C81" s="40">
        <f t="shared" si="6"/>
        <v>45626</v>
      </c>
      <c r="D81" s="40">
        <f t="shared" si="7"/>
        <v>45657</v>
      </c>
      <c r="E81" s="43" t="str">
        <f>IF([1]JEs!D80=0,"",[1]JEs!D80)</f>
        <v/>
      </c>
      <c r="F81" s="43" t="str">
        <f>IF([1]JEs!E80=0,"",[1]JEs!E80)</f>
        <v>Cash and cash equivalents</v>
      </c>
      <c r="G81" s="43" t="str">
        <f>IF([1]JEs!F80=0,"",[1]JEs!F80)</f>
        <v/>
      </c>
      <c r="H81" s="43">
        <f>IF([1]JEs!G80=0,"",[1]JEs!G80)</f>
        <v>666.66666666666663</v>
      </c>
      <c r="I81" s="43" t="str">
        <f>IF([1]JEs!H80=0,"",[1]JEs!H80)</f>
        <v>Payment for Director fee - November, 2024</v>
      </c>
      <c r="J81" s="43"/>
      <c r="K81" s="10" t="str">
        <f t="shared" si="8"/>
        <v>Cash and cash equivalents</v>
      </c>
      <c r="L81" s="96">
        <f t="shared" si="9"/>
        <v>-666.66666666666663</v>
      </c>
      <c r="M81" s="188" t="str">
        <f>VLOOKUP(K81,'Chart of Accounts'!$C:$D,2,0)</f>
        <v>Cash and equivalents</v>
      </c>
    </row>
    <row r="82" spans="2:13" ht="14.25" customHeight="1" outlineLevel="1" x14ac:dyDescent="0.25">
      <c r="B82" s="40">
        <f>+[1]JEs!B81</f>
        <v>45657</v>
      </c>
      <c r="C82" s="40">
        <f t="shared" si="6"/>
        <v>45657</v>
      </c>
      <c r="D82" s="40">
        <f t="shared" si="7"/>
        <v>45657</v>
      </c>
      <c r="E82" s="43" t="str">
        <f>IF([1]JEs!D81=0,"",[1]JEs!D81)</f>
        <v>Director fee expense</v>
      </c>
      <c r="F82" s="43" t="str">
        <f>IF([1]JEs!E81=0,"",[1]JEs!E81)</f>
        <v/>
      </c>
      <c r="G82" s="43">
        <f>IF([1]JEs!F81=0,"",[1]JEs!F81)</f>
        <v>666.66666666666663</v>
      </c>
      <c r="H82" s="43" t="str">
        <f>IF([1]JEs!G81=0,"",[1]JEs!G81)</f>
        <v/>
      </c>
      <c r="I82" s="43" t="str">
        <f>IF([1]JEs!H81=0,"",[1]JEs!H81)</f>
        <v>Director fee incurred - December 2024</v>
      </c>
      <c r="J82" s="43"/>
      <c r="K82" s="10" t="str">
        <f t="shared" si="8"/>
        <v>Director fee expense</v>
      </c>
      <c r="L82" s="96">
        <f t="shared" si="9"/>
        <v>666.66666666666663</v>
      </c>
      <c r="M82" s="10" t="str">
        <f>VLOOKUP(K82,'Chart of Accounts'!$C:$D,2,0)</f>
        <v>Professional Fees</v>
      </c>
    </row>
    <row r="83" spans="2:13" ht="14.25" customHeight="1" outlineLevel="1" x14ac:dyDescent="0.25">
      <c r="B83" s="40">
        <f>+[1]JEs!B82</f>
        <v>45657</v>
      </c>
      <c r="C83" s="40">
        <f t="shared" si="6"/>
        <v>45657</v>
      </c>
      <c r="D83" s="40">
        <f t="shared" si="7"/>
        <v>45657</v>
      </c>
      <c r="E83" s="43" t="str">
        <f>IF([1]JEs!D82=0,"",[1]JEs!D82)</f>
        <v/>
      </c>
      <c r="F83" s="43" t="str">
        <f>IF([1]JEs!E82=0,"",[1]JEs!E82)</f>
        <v>Cash and cash equivalents</v>
      </c>
      <c r="G83" s="43" t="str">
        <f>IF([1]JEs!F82=0,"",[1]JEs!F82)</f>
        <v/>
      </c>
      <c r="H83" s="43">
        <f>IF([1]JEs!G82=0,"",[1]JEs!G82)</f>
        <v>666.66666666666663</v>
      </c>
      <c r="I83" s="43" t="str">
        <f>IF([1]JEs!H82=0,"",[1]JEs!H82)</f>
        <v>Payment for Director fee - December, 2024</v>
      </c>
      <c r="J83" s="43"/>
      <c r="K83" s="10" t="str">
        <f t="shared" si="8"/>
        <v>Cash and cash equivalents</v>
      </c>
      <c r="L83" s="96">
        <f t="shared" si="9"/>
        <v>-666.66666666666663</v>
      </c>
      <c r="M83" s="188" t="str">
        <f>VLOOKUP(K83,'Chart of Accounts'!$C:$D,2,0)</f>
        <v>Cash and equivalents</v>
      </c>
    </row>
    <row r="84" spans="2:13" ht="14.25" customHeight="1" outlineLevel="1" x14ac:dyDescent="0.25">
      <c r="B84" s="40">
        <f>+[1]JEs!B83</f>
        <v>45322</v>
      </c>
      <c r="C84" s="40">
        <f t="shared" si="6"/>
        <v>45322</v>
      </c>
      <c r="D84" s="40">
        <f t="shared" si="7"/>
        <v>45382</v>
      </c>
      <c r="E84" s="43" t="str">
        <f>IF([1]JEs!D83=0,"",[1]JEs!D83)</f>
        <v>Compliance fee expense</v>
      </c>
      <c r="F84" s="43" t="str">
        <f>IF([1]JEs!E83=0,"",[1]JEs!E83)</f>
        <v/>
      </c>
      <c r="G84" s="43">
        <f>IF([1]JEs!F83=0,"",[1]JEs!F83)</f>
        <v>250</v>
      </c>
      <c r="H84" s="43" t="str">
        <f>IF([1]JEs!G83=0,"",[1]JEs!G83)</f>
        <v/>
      </c>
      <c r="I84" s="43" t="str">
        <f>IF([1]JEs!H83=0,"",[1]JEs!H83)</f>
        <v>Compliance fee incurred - January 2024</v>
      </c>
      <c r="J84" s="43"/>
      <c r="K84" s="10" t="str">
        <f t="shared" si="8"/>
        <v>Compliance fee expense</v>
      </c>
      <c r="L84" s="96">
        <f t="shared" si="9"/>
        <v>250</v>
      </c>
      <c r="M84" s="10" t="str">
        <f>VLOOKUP(K84,'Chart of Accounts'!$C:$D,2,0)</f>
        <v>Professional Fees</v>
      </c>
    </row>
    <row r="85" spans="2:13" ht="14.25" customHeight="1" outlineLevel="1" x14ac:dyDescent="0.25">
      <c r="B85" s="40">
        <f>+[1]JEs!B84</f>
        <v>45322</v>
      </c>
      <c r="C85" s="40">
        <f t="shared" si="6"/>
        <v>45322</v>
      </c>
      <c r="D85" s="40">
        <f t="shared" si="7"/>
        <v>45382</v>
      </c>
      <c r="E85" s="43" t="str">
        <f>IF([1]JEs!D84=0,"",[1]JEs!D84)</f>
        <v/>
      </c>
      <c r="F85" s="43" t="str">
        <f>IF([1]JEs!E84=0,"",[1]JEs!E84)</f>
        <v>Cash and cash equivalents</v>
      </c>
      <c r="G85" s="43" t="str">
        <f>IF([1]JEs!F84=0,"",[1]JEs!F84)</f>
        <v/>
      </c>
      <c r="H85" s="43">
        <f>IF([1]JEs!G84=0,"",[1]JEs!G84)</f>
        <v>250</v>
      </c>
      <c r="I85" s="43" t="str">
        <f>IF([1]JEs!H84=0,"",[1]JEs!H84)</f>
        <v>Payment for Compliance fee - January 2024</v>
      </c>
      <c r="J85" s="43"/>
      <c r="K85" s="10" t="str">
        <f t="shared" si="8"/>
        <v>Cash and cash equivalents</v>
      </c>
      <c r="L85" s="96">
        <f t="shared" si="9"/>
        <v>-250</v>
      </c>
      <c r="M85" s="188" t="str">
        <f>VLOOKUP(K85,'Chart of Accounts'!$C:$D,2,0)</f>
        <v>Cash and equivalents</v>
      </c>
    </row>
    <row r="86" spans="2:13" ht="14.25" customHeight="1" outlineLevel="1" x14ac:dyDescent="0.25">
      <c r="B86" s="40">
        <f>+[1]JEs!B85</f>
        <v>45351</v>
      </c>
      <c r="C86" s="40">
        <f t="shared" si="6"/>
        <v>45351</v>
      </c>
      <c r="D86" s="40">
        <f t="shared" si="7"/>
        <v>45382</v>
      </c>
      <c r="E86" s="43" t="str">
        <f>IF([1]JEs!D85=0,"",[1]JEs!D85)</f>
        <v>Compliance fee expense</v>
      </c>
      <c r="F86" s="43" t="str">
        <f>IF([1]JEs!E85=0,"",[1]JEs!E85)</f>
        <v/>
      </c>
      <c r="G86" s="43">
        <f>IF([1]JEs!F85=0,"",[1]JEs!F85)</f>
        <v>250</v>
      </c>
      <c r="H86" s="43" t="str">
        <f>IF([1]JEs!G85=0,"",[1]JEs!G85)</f>
        <v/>
      </c>
      <c r="I86" s="43" t="str">
        <f>IF([1]JEs!H85=0,"",[1]JEs!H85)</f>
        <v>Compliance fee incurred - February 2024</v>
      </c>
      <c r="J86" s="43"/>
      <c r="K86" s="10" t="str">
        <f t="shared" si="8"/>
        <v>Compliance fee expense</v>
      </c>
      <c r="L86" s="96">
        <f t="shared" si="9"/>
        <v>250</v>
      </c>
      <c r="M86" s="10" t="str">
        <f>VLOOKUP(K86,'Chart of Accounts'!$C:$D,2,0)</f>
        <v>Professional Fees</v>
      </c>
    </row>
    <row r="87" spans="2:13" ht="14.25" customHeight="1" outlineLevel="1" x14ac:dyDescent="0.25">
      <c r="B87" s="40">
        <f>+[1]JEs!B86</f>
        <v>45351</v>
      </c>
      <c r="C87" s="40">
        <f t="shared" si="6"/>
        <v>45351</v>
      </c>
      <c r="D87" s="40">
        <f t="shared" si="7"/>
        <v>45382</v>
      </c>
      <c r="E87" s="43" t="str">
        <f>IF([1]JEs!D86=0,"",[1]JEs!D86)</f>
        <v/>
      </c>
      <c r="F87" s="43" t="str">
        <f>IF([1]JEs!E86=0,"",[1]JEs!E86)</f>
        <v>Cash and cash equivalents</v>
      </c>
      <c r="G87" s="43" t="str">
        <f>IF([1]JEs!F86=0,"",[1]JEs!F86)</f>
        <v/>
      </c>
      <c r="H87" s="43">
        <f>IF([1]JEs!G86=0,"",[1]JEs!G86)</f>
        <v>250</v>
      </c>
      <c r="I87" s="43" t="str">
        <f>IF([1]JEs!H86=0,"",[1]JEs!H86)</f>
        <v>Payment for Compliance fee - February 2024</v>
      </c>
      <c r="J87" s="43"/>
      <c r="K87" s="10" t="str">
        <f t="shared" si="8"/>
        <v>Cash and cash equivalents</v>
      </c>
      <c r="L87" s="96">
        <f t="shared" si="9"/>
        <v>-250</v>
      </c>
      <c r="M87" s="188" t="str">
        <f>VLOOKUP(K87,'Chart of Accounts'!$C:$D,2,0)</f>
        <v>Cash and equivalents</v>
      </c>
    </row>
    <row r="88" spans="2:13" ht="14.25" customHeight="1" outlineLevel="1" x14ac:dyDescent="0.25">
      <c r="B88" s="40">
        <f>+[1]JEs!B87</f>
        <v>45382</v>
      </c>
      <c r="C88" s="40">
        <f t="shared" si="6"/>
        <v>45382</v>
      </c>
      <c r="D88" s="40">
        <f t="shared" si="7"/>
        <v>45382</v>
      </c>
      <c r="E88" s="43" t="str">
        <f>IF([1]JEs!D87=0,"",[1]JEs!D87)</f>
        <v>Compliance fee expense</v>
      </c>
      <c r="F88" s="43" t="str">
        <f>IF([1]JEs!E87=0,"",[1]JEs!E87)</f>
        <v/>
      </c>
      <c r="G88" s="43">
        <f>IF([1]JEs!F87=0,"",[1]JEs!F87)</f>
        <v>250</v>
      </c>
      <c r="H88" s="43" t="str">
        <f>IF([1]JEs!G87=0,"",[1]JEs!G87)</f>
        <v/>
      </c>
      <c r="I88" s="43" t="str">
        <f>IF([1]JEs!H87=0,"",[1]JEs!H87)</f>
        <v>Compliance fee incurred - March 2024</v>
      </c>
      <c r="J88" s="43"/>
      <c r="K88" s="10" t="str">
        <f t="shared" si="8"/>
        <v>Compliance fee expense</v>
      </c>
      <c r="L88" s="96">
        <f t="shared" si="9"/>
        <v>250</v>
      </c>
      <c r="M88" s="10" t="str">
        <f>VLOOKUP(K88,'Chart of Accounts'!$C:$D,2,0)</f>
        <v>Professional Fees</v>
      </c>
    </row>
    <row r="89" spans="2:13" ht="14.25" customHeight="1" outlineLevel="1" x14ac:dyDescent="0.25">
      <c r="B89" s="40">
        <f>+[1]JEs!B88</f>
        <v>45382</v>
      </c>
      <c r="C89" s="40">
        <f t="shared" si="6"/>
        <v>45382</v>
      </c>
      <c r="D89" s="40">
        <f t="shared" si="7"/>
        <v>45382</v>
      </c>
      <c r="E89" s="43" t="str">
        <f>IF([1]JEs!D88=0,"",[1]JEs!D88)</f>
        <v/>
      </c>
      <c r="F89" s="43" t="str">
        <f>IF([1]JEs!E88=0,"",[1]JEs!E88)</f>
        <v>Cash and cash equivalents</v>
      </c>
      <c r="G89" s="43" t="str">
        <f>IF([1]JEs!F88=0,"",[1]JEs!F88)</f>
        <v/>
      </c>
      <c r="H89" s="43">
        <f>IF([1]JEs!G88=0,"",[1]JEs!G88)</f>
        <v>250</v>
      </c>
      <c r="I89" s="43" t="str">
        <f>IF([1]JEs!H88=0,"",[1]JEs!H88)</f>
        <v>Payment for Compliance fee - March 2024</v>
      </c>
      <c r="J89" s="43"/>
      <c r="K89" s="10" t="str">
        <f t="shared" si="8"/>
        <v>Cash and cash equivalents</v>
      </c>
      <c r="L89" s="96">
        <f t="shared" si="9"/>
        <v>-250</v>
      </c>
      <c r="M89" s="188" t="str">
        <f>VLOOKUP(K89,'Chart of Accounts'!$C:$D,2,0)</f>
        <v>Cash and equivalents</v>
      </c>
    </row>
    <row r="90" spans="2:13" ht="14.25" customHeight="1" outlineLevel="1" x14ac:dyDescent="0.25">
      <c r="B90" s="40">
        <f>+[1]JEs!B89</f>
        <v>45412</v>
      </c>
      <c r="C90" s="40">
        <f t="shared" si="6"/>
        <v>45412</v>
      </c>
      <c r="D90" s="40">
        <f t="shared" si="7"/>
        <v>45473</v>
      </c>
      <c r="E90" s="43" t="str">
        <f>IF([1]JEs!D89=0,"",[1]JEs!D89)</f>
        <v>Compliance fee expense</v>
      </c>
      <c r="F90" s="43" t="str">
        <f>IF([1]JEs!E89=0,"",[1]JEs!E89)</f>
        <v/>
      </c>
      <c r="G90" s="43">
        <f>IF([1]JEs!F89=0,"",[1]JEs!F89)</f>
        <v>250</v>
      </c>
      <c r="H90" s="43" t="str">
        <f>IF([1]JEs!G89=0,"",[1]JEs!G89)</f>
        <v/>
      </c>
      <c r="I90" s="43" t="str">
        <f>IF([1]JEs!H89=0,"",[1]JEs!H89)</f>
        <v>Compliance fee incurred - April 2024</v>
      </c>
      <c r="J90" s="43"/>
      <c r="K90" s="10" t="str">
        <f t="shared" si="8"/>
        <v>Compliance fee expense</v>
      </c>
      <c r="L90" s="96">
        <f t="shared" si="9"/>
        <v>250</v>
      </c>
      <c r="M90" s="10" t="str">
        <f>VLOOKUP(K90,'Chart of Accounts'!$C:$D,2,0)</f>
        <v>Professional Fees</v>
      </c>
    </row>
    <row r="91" spans="2:13" ht="14.25" customHeight="1" outlineLevel="1" x14ac:dyDescent="0.25">
      <c r="B91" s="40">
        <f>+[1]JEs!B90</f>
        <v>45412</v>
      </c>
      <c r="C91" s="40">
        <f t="shared" si="6"/>
        <v>45412</v>
      </c>
      <c r="D91" s="40">
        <f t="shared" si="7"/>
        <v>45473</v>
      </c>
      <c r="E91" s="43" t="str">
        <f>IF([1]JEs!D90=0,"",[1]JEs!D90)</f>
        <v/>
      </c>
      <c r="F91" s="43" t="str">
        <f>IF([1]JEs!E90=0,"",[1]JEs!E90)</f>
        <v>Cash and cash equivalents</v>
      </c>
      <c r="G91" s="43" t="str">
        <f>IF([1]JEs!F90=0,"",[1]JEs!F90)</f>
        <v/>
      </c>
      <c r="H91" s="43">
        <f>IF([1]JEs!G90=0,"",[1]JEs!G90)</f>
        <v>250</v>
      </c>
      <c r="I91" s="43" t="str">
        <f>IF([1]JEs!H90=0,"",[1]JEs!H90)</f>
        <v>Payment for Compliance fee - April 2024</v>
      </c>
      <c r="J91" s="43"/>
      <c r="K91" s="10" t="str">
        <f t="shared" si="8"/>
        <v>Cash and cash equivalents</v>
      </c>
      <c r="L91" s="96">
        <f t="shared" si="9"/>
        <v>-250</v>
      </c>
      <c r="M91" s="188" t="str">
        <f>VLOOKUP(K91,'Chart of Accounts'!$C:$D,2,0)</f>
        <v>Cash and equivalents</v>
      </c>
    </row>
    <row r="92" spans="2:13" ht="14.25" customHeight="1" outlineLevel="1" x14ac:dyDescent="0.25">
      <c r="B92" s="40">
        <f>+[1]JEs!B91</f>
        <v>45443</v>
      </c>
      <c r="C92" s="40">
        <f t="shared" si="6"/>
        <v>45443</v>
      </c>
      <c r="D92" s="40">
        <f t="shared" si="7"/>
        <v>45473</v>
      </c>
      <c r="E92" s="43" t="str">
        <f>IF([1]JEs!D91=0,"",[1]JEs!D91)</f>
        <v>Compliance fee expense</v>
      </c>
      <c r="F92" s="43" t="str">
        <f>IF([1]JEs!E91=0,"",[1]JEs!E91)</f>
        <v/>
      </c>
      <c r="G92" s="43">
        <f>IF([1]JEs!F91=0,"",[1]JEs!F91)</f>
        <v>250</v>
      </c>
      <c r="H92" s="43" t="str">
        <f>IF([1]JEs!G91=0,"",[1]JEs!G91)</f>
        <v/>
      </c>
      <c r="I92" s="43" t="str">
        <f>IF([1]JEs!H91=0,"",[1]JEs!H91)</f>
        <v>Compliance fee incurred - May 2024</v>
      </c>
      <c r="J92" s="43"/>
      <c r="K92" s="10" t="str">
        <f t="shared" si="8"/>
        <v>Compliance fee expense</v>
      </c>
      <c r="L92" s="96">
        <f t="shared" si="9"/>
        <v>250</v>
      </c>
      <c r="M92" s="10" t="str">
        <f>VLOOKUP(K92,'Chart of Accounts'!$C:$D,2,0)</f>
        <v>Professional Fees</v>
      </c>
    </row>
    <row r="93" spans="2:13" ht="14.25" customHeight="1" outlineLevel="1" x14ac:dyDescent="0.25">
      <c r="B93" s="40">
        <f>+[1]JEs!B92</f>
        <v>45443</v>
      </c>
      <c r="C93" s="40">
        <f t="shared" si="6"/>
        <v>45443</v>
      </c>
      <c r="D93" s="40">
        <f t="shared" si="7"/>
        <v>45473</v>
      </c>
      <c r="E93" s="43" t="str">
        <f>IF([1]JEs!D92=0,"",[1]JEs!D92)</f>
        <v/>
      </c>
      <c r="F93" s="43" t="str">
        <f>IF([1]JEs!E92=0,"",[1]JEs!E92)</f>
        <v>Cash and cash equivalents</v>
      </c>
      <c r="G93" s="43" t="str">
        <f>IF([1]JEs!F92=0,"",[1]JEs!F92)</f>
        <v/>
      </c>
      <c r="H93" s="43">
        <f>IF([1]JEs!G92=0,"",[1]JEs!G92)</f>
        <v>250</v>
      </c>
      <c r="I93" s="43" t="str">
        <f>IF([1]JEs!H92=0,"",[1]JEs!H92)</f>
        <v>Payment for Compliance fee - May 2024</v>
      </c>
      <c r="J93" s="43"/>
      <c r="K93" s="10" t="str">
        <f t="shared" si="8"/>
        <v>Cash and cash equivalents</v>
      </c>
      <c r="L93" s="96">
        <f t="shared" si="9"/>
        <v>-250</v>
      </c>
      <c r="M93" s="188" t="str">
        <f>VLOOKUP(K93,'Chart of Accounts'!$C:$D,2,0)</f>
        <v>Cash and equivalents</v>
      </c>
    </row>
    <row r="94" spans="2:13" ht="14.25" customHeight="1" outlineLevel="1" x14ac:dyDescent="0.25">
      <c r="B94" s="40">
        <f>+[1]JEs!B93</f>
        <v>45473</v>
      </c>
      <c r="C94" s="40">
        <f t="shared" si="6"/>
        <v>45473</v>
      </c>
      <c r="D94" s="40">
        <f t="shared" si="7"/>
        <v>45473</v>
      </c>
      <c r="E94" s="43" t="str">
        <f>IF([1]JEs!D93=0,"",[1]JEs!D93)</f>
        <v>Compliance fee expense</v>
      </c>
      <c r="F94" s="43" t="str">
        <f>IF([1]JEs!E93=0,"",[1]JEs!E93)</f>
        <v/>
      </c>
      <c r="G94" s="43">
        <f>IF([1]JEs!F93=0,"",[1]JEs!F93)</f>
        <v>250</v>
      </c>
      <c r="H94" s="43" t="str">
        <f>IF([1]JEs!G93=0,"",[1]JEs!G93)</f>
        <v/>
      </c>
      <c r="I94" s="43" t="str">
        <f>IF([1]JEs!H93=0,"",[1]JEs!H93)</f>
        <v>Compliance fee incurred - June 2024</v>
      </c>
      <c r="J94" s="43"/>
      <c r="K94" s="10" t="str">
        <f t="shared" si="8"/>
        <v>Compliance fee expense</v>
      </c>
      <c r="L94" s="96">
        <f t="shared" si="9"/>
        <v>250</v>
      </c>
      <c r="M94" s="10" t="str">
        <f>VLOOKUP(K94,'Chart of Accounts'!$C:$D,2,0)</f>
        <v>Professional Fees</v>
      </c>
    </row>
    <row r="95" spans="2:13" ht="14.25" customHeight="1" outlineLevel="1" x14ac:dyDescent="0.25">
      <c r="B95" s="40">
        <f>+[1]JEs!B94</f>
        <v>45473</v>
      </c>
      <c r="C95" s="40">
        <f t="shared" si="6"/>
        <v>45473</v>
      </c>
      <c r="D95" s="40">
        <f t="shared" si="7"/>
        <v>45473</v>
      </c>
      <c r="E95" s="43" t="str">
        <f>IF([1]JEs!D94=0,"",[1]JEs!D94)</f>
        <v/>
      </c>
      <c r="F95" s="43" t="str">
        <f>IF([1]JEs!E94=0,"",[1]JEs!E94)</f>
        <v>Cash and cash equivalents</v>
      </c>
      <c r="G95" s="43" t="str">
        <f>IF([1]JEs!F94=0,"",[1]JEs!F94)</f>
        <v/>
      </c>
      <c r="H95" s="43">
        <f>IF([1]JEs!G94=0,"",[1]JEs!G94)</f>
        <v>250</v>
      </c>
      <c r="I95" s="43" t="str">
        <f>IF([1]JEs!H94=0,"",[1]JEs!H94)</f>
        <v>Payment for Compliance fee - June 2024</v>
      </c>
      <c r="J95" s="43"/>
      <c r="K95" s="10" t="str">
        <f t="shared" si="8"/>
        <v>Cash and cash equivalents</v>
      </c>
      <c r="L95" s="96">
        <f t="shared" si="9"/>
        <v>-250</v>
      </c>
      <c r="M95" s="188" t="str">
        <f>VLOOKUP(K95,'Chart of Accounts'!$C:$D,2,0)</f>
        <v>Cash and equivalents</v>
      </c>
    </row>
    <row r="96" spans="2:13" ht="14.25" customHeight="1" outlineLevel="1" x14ac:dyDescent="0.25">
      <c r="B96" s="40">
        <f>+[1]JEs!B95</f>
        <v>45504</v>
      </c>
      <c r="C96" s="40">
        <f t="shared" si="6"/>
        <v>45504</v>
      </c>
      <c r="D96" s="40">
        <f t="shared" si="7"/>
        <v>45565</v>
      </c>
      <c r="E96" s="43" t="str">
        <f>IF([1]JEs!D95=0,"",[1]JEs!D95)</f>
        <v>Compliance fee expense</v>
      </c>
      <c r="F96" s="43" t="str">
        <f>IF([1]JEs!E95=0,"",[1]JEs!E95)</f>
        <v/>
      </c>
      <c r="G96" s="43">
        <f>IF([1]JEs!F95=0,"",[1]JEs!F95)</f>
        <v>250</v>
      </c>
      <c r="H96" s="43" t="str">
        <f>IF([1]JEs!G95=0,"",[1]JEs!G95)</f>
        <v/>
      </c>
      <c r="I96" s="43" t="str">
        <f>IF([1]JEs!H95=0,"",[1]JEs!H95)</f>
        <v>Compliance fee incurred - July 2024</v>
      </c>
      <c r="J96" s="43"/>
      <c r="K96" s="10" t="str">
        <f t="shared" si="8"/>
        <v>Compliance fee expense</v>
      </c>
      <c r="L96" s="96">
        <f t="shared" si="9"/>
        <v>250</v>
      </c>
      <c r="M96" s="10" t="str">
        <f>VLOOKUP(K96,'Chart of Accounts'!$C:$D,2,0)</f>
        <v>Professional Fees</v>
      </c>
    </row>
    <row r="97" spans="2:13" ht="14.25" customHeight="1" outlineLevel="1" x14ac:dyDescent="0.25">
      <c r="B97" s="40">
        <f>+[1]JEs!B96</f>
        <v>45504</v>
      </c>
      <c r="C97" s="40">
        <f t="shared" si="6"/>
        <v>45504</v>
      </c>
      <c r="D97" s="40">
        <f t="shared" si="7"/>
        <v>45565</v>
      </c>
      <c r="E97" s="43" t="str">
        <f>IF([1]JEs!D96=0,"",[1]JEs!D96)</f>
        <v/>
      </c>
      <c r="F97" s="43" t="str">
        <f>IF([1]JEs!E96=0,"",[1]JEs!E96)</f>
        <v>Cash and cash equivalents</v>
      </c>
      <c r="G97" s="43" t="str">
        <f>IF([1]JEs!F96=0,"",[1]JEs!F96)</f>
        <v/>
      </c>
      <c r="H97" s="43">
        <f>IF([1]JEs!G96=0,"",[1]JEs!G96)</f>
        <v>250</v>
      </c>
      <c r="I97" s="43" t="str">
        <f>IF([1]JEs!H96=0,"",[1]JEs!H96)</f>
        <v>Payment for Compliance fee - July 2024</v>
      </c>
      <c r="J97" s="43"/>
      <c r="K97" s="10" t="str">
        <f t="shared" si="8"/>
        <v>Cash and cash equivalents</v>
      </c>
      <c r="L97" s="96">
        <f t="shared" si="9"/>
        <v>-250</v>
      </c>
      <c r="M97" s="188" t="str">
        <f>VLOOKUP(K97,'Chart of Accounts'!$C:$D,2,0)</f>
        <v>Cash and equivalents</v>
      </c>
    </row>
    <row r="98" spans="2:13" ht="14.25" customHeight="1" outlineLevel="1" x14ac:dyDescent="0.25">
      <c r="B98" s="40">
        <f>+[1]JEs!B97</f>
        <v>45535</v>
      </c>
      <c r="C98" s="40">
        <f t="shared" si="6"/>
        <v>45535</v>
      </c>
      <c r="D98" s="40">
        <f t="shared" si="7"/>
        <v>45565</v>
      </c>
      <c r="E98" s="43" t="str">
        <f>IF([1]JEs!D97=0,"",[1]JEs!D97)</f>
        <v>Compliance fee expense</v>
      </c>
      <c r="F98" s="43" t="str">
        <f>IF([1]JEs!E97=0,"",[1]JEs!E97)</f>
        <v/>
      </c>
      <c r="G98" s="43">
        <f>IF([1]JEs!F97=0,"",[1]JEs!F97)</f>
        <v>250</v>
      </c>
      <c r="H98" s="43" t="str">
        <f>IF([1]JEs!G97=0,"",[1]JEs!G97)</f>
        <v/>
      </c>
      <c r="I98" s="43" t="str">
        <f>IF([1]JEs!H97=0,"",[1]JEs!H97)</f>
        <v>Compliance fee incurred - August 2024</v>
      </c>
      <c r="J98" s="43"/>
      <c r="K98" s="10" t="str">
        <f t="shared" si="8"/>
        <v>Compliance fee expense</v>
      </c>
      <c r="L98" s="96">
        <f t="shared" si="9"/>
        <v>250</v>
      </c>
      <c r="M98" s="10" t="str">
        <f>VLOOKUP(K98,'Chart of Accounts'!$C:$D,2,0)</f>
        <v>Professional Fees</v>
      </c>
    </row>
    <row r="99" spans="2:13" ht="14.25" customHeight="1" outlineLevel="1" x14ac:dyDescent="0.25">
      <c r="B99" s="40">
        <f>+[1]JEs!B98</f>
        <v>45535</v>
      </c>
      <c r="C99" s="40">
        <f t="shared" si="6"/>
        <v>45535</v>
      </c>
      <c r="D99" s="40">
        <f t="shared" si="7"/>
        <v>45565</v>
      </c>
      <c r="E99" s="43" t="str">
        <f>IF([1]JEs!D98=0,"",[1]JEs!D98)</f>
        <v/>
      </c>
      <c r="F99" s="43" t="str">
        <f>IF([1]JEs!E98=0,"",[1]JEs!E98)</f>
        <v>Cash and cash equivalents</v>
      </c>
      <c r="G99" s="43" t="str">
        <f>IF([1]JEs!F98=0,"",[1]JEs!F98)</f>
        <v/>
      </c>
      <c r="H99" s="43">
        <f>IF([1]JEs!G98=0,"",[1]JEs!G98)</f>
        <v>250</v>
      </c>
      <c r="I99" s="43" t="str">
        <f>IF([1]JEs!H98=0,"",[1]JEs!H98)</f>
        <v>Payment for Compliance fee - August 2024</v>
      </c>
      <c r="J99" s="43"/>
      <c r="K99" s="10" t="str">
        <f t="shared" si="8"/>
        <v>Cash and cash equivalents</v>
      </c>
      <c r="L99" s="96">
        <f t="shared" si="9"/>
        <v>-250</v>
      </c>
      <c r="M99" s="188" t="str">
        <f>VLOOKUP(K99,'Chart of Accounts'!$C:$D,2,0)</f>
        <v>Cash and equivalents</v>
      </c>
    </row>
    <row r="100" spans="2:13" ht="14.25" customHeight="1" outlineLevel="1" x14ac:dyDescent="0.25">
      <c r="B100" s="40">
        <f>+[1]JEs!B99</f>
        <v>45565</v>
      </c>
      <c r="C100" s="40">
        <f t="shared" si="6"/>
        <v>45565</v>
      </c>
      <c r="D100" s="40">
        <f t="shared" si="7"/>
        <v>45565</v>
      </c>
      <c r="E100" s="43" t="str">
        <f>IF([1]JEs!D99=0,"",[1]JEs!D99)</f>
        <v>Compliance fee expense</v>
      </c>
      <c r="F100" s="43" t="str">
        <f>IF([1]JEs!E99=0,"",[1]JEs!E99)</f>
        <v/>
      </c>
      <c r="G100" s="43">
        <f>IF([1]JEs!F99=0,"",[1]JEs!F99)</f>
        <v>250</v>
      </c>
      <c r="H100" s="43" t="str">
        <f>IF([1]JEs!G99=0,"",[1]JEs!G99)</f>
        <v/>
      </c>
      <c r="I100" s="43" t="str">
        <f>IF([1]JEs!H99=0,"",[1]JEs!H99)</f>
        <v>Compliance fee incurred - September 2024</v>
      </c>
      <c r="J100" s="43"/>
      <c r="K100" s="10" t="str">
        <f t="shared" si="8"/>
        <v>Compliance fee expense</v>
      </c>
      <c r="L100" s="96">
        <f t="shared" si="9"/>
        <v>250</v>
      </c>
      <c r="M100" s="10" t="str">
        <f>VLOOKUP(K100,'Chart of Accounts'!$C:$D,2,0)</f>
        <v>Professional Fees</v>
      </c>
    </row>
    <row r="101" spans="2:13" ht="14.25" customHeight="1" outlineLevel="1" x14ac:dyDescent="0.25">
      <c r="B101" s="40">
        <f>+[1]JEs!B100</f>
        <v>45565</v>
      </c>
      <c r="C101" s="40">
        <f t="shared" si="6"/>
        <v>45565</v>
      </c>
      <c r="D101" s="40">
        <f t="shared" si="7"/>
        <v>45565</v>
      </c>
      <c r="E101" s="43" t="str">
        <f>IF([1]JEs!D100=0,"",[1]JEs!D100)</f>
        <v/>
      </c>
      <c r="F101" s="43" t="str">
        <f>IF([1]JEs!E100=0,"",[1]JEs!E100)</f>
        <v>Cash and cash equivalents</v>
      </c>
      <c r="G101" s="43" t="str">
        <f>IF([1]JEs!F100=0,"",[1]JEs!F100)</f>
        <v/>
      </c>
      <c r="H101" s="43">
        <f>IF([1]JEs!G100=0,"",[1]JEs!G100)</f>
        <v>250</v>
      </c>
      <c r="I101" s="43" t="str">
        <f>IF([1]JEs!H100=0,"",[1]JEs!H100)</f>
        <v>Payment for Compliance fee - September 2024</v>
      </c>
      <c r="J101" s="43"/>
      <c r="K101" s="10" t="str">
        <f t="shared" si="8"/>
        <v>Cash and cash equivalents</v>
      </c>
      <c r="L101" s="96">
        <f t="shared" si="9"/>
        <v>-250</v>
      </c>
      <c r="M101" s="188" t="str">
        <f>VLOOKUP(K101,'Chart of Accounts'!$C:$D,2,0)</f>
        <v>Cash and equivalents</v>
      </c>
    </row>
    <row r="102" spans="2:13" ht="14.25" customHeight="1" outlineLevel="1" x14ac:dyDescent="0.25">
      <c r="B102" s="40">
        <f>+[1]JEs!B101</f>
        <v>45596</v>
      </c>
      <c r="C102" s="40">
        <f t="shared" si="6"/>
        <v>45596</v>
      </c>
      <c r="D102" s="40">
        <f t="shared" si="7"/>
        <v>45657</v>
      </c>
      <c r="E102" s="43" t="str">
        <f>IF([1]JEs!D101=0,"",[1]JEs!D101)</f>
        <v>Compliance fee expense</v>
      </c>
      <c r="F102" s="43" t="str">
        <f>IF([1]JEs!E101=0,"",[1]JEs!E101)</f>
        <v/>
      </c>
      <c r="G102" s="43">
        <f>IF([1]JEs!F101=0,"",[1]JEs!F101)</f>
        <v>250</v>
      </c>
      <c r="H102" s="43" t="str">
        <f>IF([1]JEs!G101=0,"",[1]JEs!G101)</f>
        <v/>
      </c>
      <c r="I102" s="43" t="str">
        <f>IF([1]JEs!H101=0,"",[1]JEs!H101)</f>
        <v>Compliance fee incurred - October 2024</v>
      </c>
      <c r="J102" s="43"/>
      <c r="K102" s="10" t="str">
        <f t="shared" si="8"/>
        <v>Compliance fee expense</v>
      </c>
      <c r="L102" s="96">
        <f t="shared" si="9"/>
        <v>250</v>
      </c>
      <c r="M102" s="10" t="str">
        <f>VLOOKUP(K102,'Chart of Accounts'!$C:$D,2,0)</f>
        <v>Professional Fees</v>
      </c>
    </row>
    <row r="103" spans="2:13" ht="14.25" customHeight="1" outlineLevel="1" x14ac:dyDescent="0.25">
      <c r="B103" s="40">
        <f>+[1]JEs!B102</f>
        <v>45596</v>
      </c>
      <c r="C103" s="40">
        <f t="shared" si="6"/>
        <v>45596</v>
      </c>
      <c r="D103" s="40">
        <f t="shared" si="7"/>
        <v>45657</v>
      </c>
      <c r="E103" s="43" t="str">
        <f>IF([1]JEs!D102=0,"",[1]JEs!D102)</f>
        <v/>
      </c>
      <c r="F103" s="43" t="str">
        <f>IF([1]JEs!E102=0,"",[1]JEs!E102)</f>
        <v>Cash and cash equivalents</v>
      </c>
      <c r="G103" s="43" t="str">
        <f>IF([1]JEs!F102=0,"",[1]JEs!F102)</f>
        <v/>
      </c>
      <c r="H103" s="43">
        <f>IF([1]JEs!G102=0,"",[1]JEs!G102)</f>
        <v>250</v>
      </c>
      <c r="I103" s="43" t="str">
        <f>IF([1]JEs!H102=0,"",[1]JEs!H102)</f>
        <v>Payment for Compliance fee - October 2024</v>
      </c>
      <c r="J103" s="43"/>
      <c r="K103" s="10" t="str">
        <f t="shared" si="8"/>
        <v>Cash and cash equivalents</v>
      </c>
      <c r="L103" s="96">
        <f t="shared" si="9"/>
        <v>-250</v>
      </c>
      <c r="M103" s="188" t="str">
        <f>VLOOKUP(K103,'Chart of Accounts'!$C:$D,2,0)</f>
        <v>Cash and equivalents</v>
      </c>
    </row>
    <row r="104" spans="2:13" ht="14.25" customHeight="1" outlineLevel="1" x14ac:dyDescent="0.25">
      <c r="B104" s="40">
        <f>+[1]JEs!B103</f>
        <v>45626</v>
      </c>
      <c r="C104" s="40">
        <f t="shared" si="6"/>
        <v>45626</v>
      </c>
      <c r="D104" s="40">
        <f t="shared" si="7"/>
        <v>45657</v>
      </c>
      <c r="E104" s="43" t="str">
        <f>IF([1]JEs!D103=0,"",[1]JEs!D103)</f>
        <v>Compliance fee expense</v>
      </c>
      <c r="F104" s="43" t="str">
        <f>IF([1]JEs!E103=0,"",[1]JEs!E103)</f>
        <v/>
      </c>
      <c r="G104" s="43">
        <f>IF([1]JEs!F103=0,"",[1]JEs!F103)</f>
        <v>250</v>
      </c>
      <c r="H104" s="43" t="str">
        <f>IF([1]JEs!G103=0,"",[1]JEs!G103)</f>
        <v/>
      </c>
      <c r="I104" s="43" t="str">
        <f>IF([1]JEs!H103=0,"",[1]JEs!H103)</f>
        <v>Compliance fee incurred - November 2024</v>
      </c>
      <c r="J104" s="43"/>
      <c r="K104" s="10" t="str">
        <f t="shared" si="8"/>
        <v>Compliance fee expense</v>
      </c>
      <c r="L104" s="96">
        <f t="shared" si="9"/>
        <v>250</v>
      </c>
      <c r="M104" s="10" t="str">
        <f>VLOOKUP(K104,'Chart of Accounts'!$C:$D,2,0)</f>
        <v>Professional Fees</v>
      </c>
    </row>
    <row r="105" spans="2:13" ht="14.25" customHeight="1" outlineLevel="1" x14ac:dyDescent="0.25">
      <c r="B105" s="40">
        <f>+[1]JEs!B104</f>
        <v>45626</v>
      </c>
      <c r="C105" s="40">
        <f t="shared" si="6"/>
        <v>45626</v>
      </c>
      <c r="D105" s="40">
        <f t="shared" si="7"/>
        <v>45657</v>
      </c>
      <c r="E105" s="43" t="str">
        <f>IF([1]JEs!D104=0,"",[1]JEs!D104)</f>
        <v/>
      </c>
      <c r="F105" s="43" t="str">
        <f>IF([1]JEs!E104=0,"",[1]JEs!E104)</f>
        <v>Cash and cash equivalents</v>
      </c>
      <c r="G105" s="43" t="str">
        <f>IF([1]JEs!F104=0,"",[1]JEs!F104)</f>
        <v/>
      </c>
      <c r="H105" s="43">
        <f>IF([1]JEs!G104=0,"",[1]JEs!G104)</f>
        <v>250</v>
      </c>
      <c r="I105" s="43" t="str">
        <f>IF([1]JEs!H104=0,"",[1]JEs!H104)</f>
        <v>Payment for Compliance fee - November 2024</v>
      </c>
      <c r="J105" s="43"/>
      <c r="K105" s="10" t="str">
        <f t="shared" si="8"/>
        <v>Cash and cash equivalents</v>
      </c>
      <c r="L105" s="96">
        <f t="shared" si="9"/>
        <v>-250</v>
      </c>
      <c r="M105" s="188" t="str">
        <f>VLOOKUP(K105,'Chart of Accounts'!$C:$D,2,0)</f>
        <v>Cash and equivalents</v>
      </c>
    </row>
    <row r="106" spans="2:13" ht="14.25" customHeight="1" outlineLevel="1" x14ac:dyDescent="0.25">
      <c r="B106" s="40">
        <f>+[1]JEs!B105</f>
        <v>45657</v>
      </c>
      <c r="C106" s="40">
        <f t="shared" si="6"/>
        <v>45657</v>
      </c>
      <c r="D106" s="40">
        <f t="shared" si="7"/>
        <v>45657</v>
      </c>
      <c r="E106" s="43" t="str">
        <f>IF([1]JEs!D105=0,"",[1]JEs!D105)</f>
        <v>Compliance fee expense</v>
      </c>
      <c r="F106" s="43" t="str">
        <f>IF([1]JEs!E105=0,"",[1]JEs!E105)</f>
        <v/>
      </c>
      <c r="G106" s="43">
        <f>IF([1]JEs!F105=0,"",[1]JEs!F105)</f>
        <v>250</v>
      </c>
      <c r="H106" s="43" t="str">
        <f>IF([1]JEs!G105=0,"",[1]JEs!G105)</f>
        <v/>
      </c>
      <c r="I106" s="43" t="str">
        <f>IF([1]JEs!H105=0,"",[1]JEs!H105)</f>
        <v>Compliance fee incurred - December 2024</v>
      </c>
      <c r="J106" s="43"/>
      <c r="K106" s="10" t="str">
        <f t="shared" si="8"/>
        <v>Compliance fee expense</v>
      </c>
      <c r="L106" s="96">
        <f t="shared" si="9"/>
        <v>250</v>
      </c>
      <c r="M106" s="10" t="str">
        <f>VLOOKUP(K106,'Chart of Accounts'!$C:$D,2,0)</f>
        <v>Professional Fees</v>
      </c>
    </row>
    <row r="107" spans="2:13" ht="14.25" customHeight="1" outlineLevel="1" x14ac:dyDescent="0.25">
      <c r="B107" s="40">
        <f>+[1]JEs!B106</f>
        <v>45657</v>
      </c>
      <c r="C107" s="40">
        <f t="shared" si="6"/>
        <v>45657</v>
      </c>
      <c r="D107" s="40">
        <f t="shared" si="7"/>
        <v>45657</v>
      </c>
      <c r="E107" s="43" t="str">
        <f>IF([1]JEs!D106=0,"",[1]JEs!D106)</f>
        <v/>
      </c>
      <c r="F107" s="43" t="str">
        <f>IF([1]JEs!E106=0,"",[1]JEs!E106)</f>
        <v>Cash and cash equivalents</v>
      </c>
      <c r="G107" s="43" t="str">
        <f>IF([1]JEs!F106=0,"",[1]JEs!F106)</f>
        <v/>
      </c>
      <c r="H107" s="43">
        <f>IF([1]JEs!G106=0,"",[1]JEs!G106)</f>
        <v>250</v>
      </c>
      <c r="I107" s="43" t="str">
        <f>IF([1]JEs!H106=0,"",[1]JEs!H106)</f>
        <v>Payment for Compliance fee - December 2024</v>
      </c>
      <c r="J107" s="43"/>
      <c r="K107" s="10" t="str">
        <f t="shared" si="8"/>
        <v>Cash and cash equivalents</v>
      </c>
      <c r="L107" s="96">
        <f t="shared" si="9"/>
        <v>-250</v>
      </c>
      <c r="M107" s="188" t="str">
        <f>VLOOKUP(K107,'Chart of Accounts'!$C:$D,2,0)</f>
        <v>Cash and equivalents</v>
      </c>
    </row>
    <row r="108" spans="2:13" ht="14.25" customHeight="1" outlineLevel="1" x14ac:dyDescent="0.25">
      <c r="B108" s="40">
        <f>+[1]JEs!B107</f>
        <v>45322</v>
      </c>
      <c r="C108" s="40">
        <f t="shared" si="6"/>
        <v>45322</v>
      </c>
      <c r="D108" s="40">
        <f t="shared" si="7"/>
        <v>45382</v>
      </c>
      <c r="E108" s="43" t="str">
        <f>IF([1]JEs!D107=0,"",[1]JEs!D107)</f>
        <v>Data market fee expense</v>
      </c>
      <c r="F108" s="43" t="str">
        <f>IF([1]JEs!E107=0,"",[1]JEs!E107)</f>
        <v/>
      </c>
      <c r="G108" s="43">
        <f>IF([1]JEs!F107=0,"",[1]JEs!F107)</f>
        <v>833.33333333333337</v>
      </c>
      <c r="H108" s="43" t="str">
        <f>IF([1]JEs!G107=0,"",[1]JEs!G107)</f>
        <v/>
      </c>
      <c r="I108" s="43" t="str">
        <f>IF([1]JEs!H107=0,"",[1]JEs!H107)</f>
        <v>Data market fee incurred - January 2024</v>
      </c>
      <c r="J108" s="43"/>
      <c r="K108" s="10" t="str">
        <f t="shared" si="8"/>
        <v>Data market fee expense</v>
      </c>
      <c r="L108" s="96">
        <f t="shared" si="9"/>
        <v>833.33333333333337</v>
      </c>
      <c r="M108" s="10" t="str">
        <f>VLOOKUP(K108,'Chart of Accounts'!$C:$D,2,0)</f>
        <v>Professional Fees</v>
      </c>
    </row>
    <row r="109" spans="2:13" ht="14.25" customHeight="1" outlineLevel="1" x14ac:dyDescent="0.25">
      <c r="B109" s="40">
        <f>+[1]JEs!B108</f>
        <v>45322</v>
      </c>
      <c r="C109" s="40">
        <f t="shared" si="6"/>
        <v>45322</v>
      </c>
      <c r="D109" s="40">
        <f t="shared" si="7"/>
        <v>45382</v>
      </c>
      <c r="E109" s="43" t="str">
        <f>IF([1]JEs!D108=0,"",[1]JEs!D108)</f>
        <v/>
      </c>
      <c r="F109" s="43" t="str">
        <f>IF([1]JEs!E108=0,"",[1]JEs!E108)</f>
        <v>Cash and cash equivalents</v>
      </c>
      <c r="G109" s="43" t="str">
        <f>IF([1]JEs!F108=0,"",[1]JEs!F108)</f>
        <v/>
      </c>
      <c r="H109" s="43">
        <f>IF([1]JEs!G108=0,"",[1]JEs!G108)</f>
        <v>833.33333333333337</v>
      </c>
      <c r="I109" s="43" t="str">
        <f>IF([1]JEs!H108=0,"",[1]JEs!H108)</f>
        <v>Payment for Data Service fee - January 2024</v>
      </c>
      <c r="J109" s="43"/>
      <c r="K109" s="10" t="str">
        <f t="shared" si="8"/>
        <v>Cash and cash equivalents</v>
      </c>
      <c r="L109" s="96">
        <f t="shared" si="9"/>
        <v>-833.33333333333337</v>
      </c>
      <c r="M109" s="188" t="str">
        <f>VLOOKUP(K109,'Chart of Accounts'!$C:$D,2,0)</f>
        <v>Cash and equivalents</v>
      </c>
    </row>
    <row r="110" spans="2:13" ht="14.25" customHeight="1" outlineLevel="1" x14ac:dyDescent="0.25">
      <c r="B110" s="40">
        <f>+[1]JEs!B109</f>
        <v>45351</v>
      </c>
      <c r="C110" s="40">
        <f t="shared" si="6"/>
        <v>45351</v>
      </c>
      <c r="D110" s="40">
        <f t="shared" si="7"/>
        <v>45382</v>
      </c>
      <c r="E110" s="43" t="str">
        <f>IF([1]JEs!D109=0,"",[1]JEs!D109)</f>
        <v>Data market fee expense</v>
      </c>
      <c r="F110" s="43" t="str">
        <f>IF([1]JEs!E109=0,"",[1]JEs!E109)</f>
        <v/>
      </c>
      <c r="G110" s="43">
        <f>IF([1]JEs!F109=0,"",[1]JEs!F109)</f>
        <v>833.33333333333337</v>
      </c>
      <c r="H110" s="43" t="str">
        <f>IF([1]JEs!G109=0,"",[1]JEs!G109)</f>
        <v/>
      </c>
      <c r="I110" s="43" t="str">
        <f>IF([1]JEs!H109=0,"",[1]JEs!H109)</f>
        <v>Data market fee incurred - February 2024</v>
      </c>
      <c r="J110" s="43"/>
      <c r="K110" s="10" t="str">
        <f t="shared" si="8"/>
        <v>Data market fee expense</v>
      </c>
      <c r="L110" s="96">
        <f t="shared" si="9"/>
        <v>833.33333333333337</v>
      </c>
      <c r="M110" s="10" t="str">
        <f>VLOOKUP(K110,'Chart of Accounts'!$C:$D,2,0)</f>
        <v>Professional Fees</v>
      </c>
    </row>
    <row r="111" spans="2:13" ht="14.25" customHeight="1" outlineLevel="1" x14ac:dyDescent="0.25">
      <c r="B111" s="40">
        <f>+[1]JEs!B110</f>
        <v>45351</v>
      </c>
      <c r="C111" s="40">
        <f t="shared" si="6"/>
        <v>45351</v>
      </c>
      <c r="D111" s="40">
        <f t="shared" si="7"/>
        <v>45382</v>
      </c>
      <c r="E111" s="43" t="str">
        <f>IF([1]JEs!D110=0,"",[1]JEs!D110)</f>
        <v/>
      </c>
      <c r="F111" s="43" t="str">
        <f>IF([1]JEs!E110=0,"",[1]JEs!E110)</f>
        <v>Cash and cash equivalents</v>
      </c>
      <c r="G111" s="43" t="str">
        <f>IF([1]JEs!F110=0,"",[1]JEs!F110)</f>
        <v/>
      </c>
      <c r="H111" s="43">
        <f>IF([1]JEs!G110=0,"",[1]JEs!G110)</f>
        <v>833.33333333333337</v>
      </c>
      <c r="I111" s="43" t="str">
        <f>IF([1]JEs!H110=0,"",[1]JEs!H110)</f>
        <v>Payment for Data Service fee - February 2024</v>
      </c>
      <c r="J111" s="43"/>
      <c r="K111" s="10" t="str">
        <f t="shared" si="8"/>
        <v>Cash and cash equivalents</v>
      </c>
      <c r="L111" s="96">
        <f t="shared" si="9"/>
        <v>-833.33333333333337</v>
      </c>
      <c r="M111" s="188" t="str">
        <f>VLOOKUP(K111,'Chart of Accounts'!$C:$D,2,0)</f>
        <v>Cash and equivalents</v>
      </c>
    </row>
    <row r="112" spans="2:13" ht="14.25" customHeight="1" outlineLevel="1" x14ac:dyDescent="0.25">
      <c r="B112" s="40">
        <f>+[1]JEs!B111</f>
        <v>45382</v>
      </c>
      <c r="C112" s="40">
        <f t="shared" si="6"/>
        <v>45382</v>
      </c>
      <c r="D112" s="40">
        <f t="shared" si="7"/>
        <v>45382</v>
      </c>
      <c r="E112" s="43" t="str">
        <f>IF([1]JEs!D111=0,"",[1]JEs!D111)</f>
        <v>Data market fee expense</v>
      </c>
      <c r="F112" s="43" t="str">
        <f>IF([1]JEs!E111=0,"",[1]JEs!E111)</f>
        <v/>
      </c>
      <c r="G112" s="43">
        <f>IF([1]JEs!F111=0,"",[1]JEs!F111)</f>
        <v>833.33333333333337</v>
      </c>
      <c r="H112" s="43" t="str">
        <f>IF([1]JEs!G111=0,"",[1]JEs!G111)</f>
        <v/>
      </c>
      <c r="I112" s="43" t="str">
        <f>IF([1]JEs!H111=0,"",[1]JEs!H111)</f>
        <v>Data market fee incurred - March 2024</v>
      </c>
      <c r="J112" s="43"/>
      <c r="K112" s="10" t="str">
        <f t="shared" si="8"/>
        <v>Data market fee expense</v>
      </c>
      <c r="L112" s="96">
        <f t="shared" si="9"/>
        <v>833.33333333333337</v>
      </c>
      <c r="M112" s="10" t="str">
        <f>VLOOKUP(K112,'Chart of Accounts'!$C:$D,2,0)</f>
        <v>Professional Fees</v>
      </c>
    </row>
    <row r="113" spans="1:13" ht="14.25" customHeight="1" outlineLevel="1" x14ac:dyDescent="0.25">
      <c r="B113" s="40">
        <f>+[1]JEs!B112</f>
        <v>45382</v>
      </c>
      <c r="C113" s="40">
        <f t="shared" si="6"/>
        <v>45382</v>
      </c>
      <c r="D113" s="40">
        <f t="shared" si="7"/>
        <v>45382</v>
      </c>
      <c r="E113" s="43" t="str">
        <f>IF([1]JEs!D112=0,"",[1]JEs!D112)</f>
        <v/>
      </c>
      <c r="F113" s="43" t="str">
        <f>IF([1]JEs!E112=0,"",[1]JEs!E112)</f>
        <v>Cash and cash equivalents</v>
      </c>
      <c r="G113" s="43" t="str">
        <f>IF([1]JEs!F112=0,"",[1]JEs!F112)</f>
        <v/>
      </c>
      <c r="H113" s="43">
        <f>IF([1]JEs!G112=0,"",[1]JEs!G112)</f>
        <v>833.33333333333337</v>
      </c>
      <c r="I113" s="43" t="str">
        <f>IF([1]JEs!H112=0,"",[1]JEs!H112)</f>
        <v>Payment for Data Service fee - March 2024</v>
      </c>
      <c r="J113" s="43"/>
      <c r="K113" s="10" t="str">
        <f t="shared" si="8"/>
        <v>Cash and cash equivalents</v>
      </c>
      <c r="L113" s="96">
        <f t="shared" si="9"/>
        <v>-833.33333333333337</v>
      </c>
      <c r="M113" s="188" t="str">
        <f>VLOOKUP(K113,'Chart of Accounts'!$C:$D,2,0)</f>
        <v>Cash and equivalents</v>
      </c>
    </row>
    <row r="114" spans="1:13" ht="14.25" customHeight="1" outlineLevel="1" x14ac:dyDescent="0.25">
      <c r="B114" s="40">
        <f>+[1]JEs!B113</f>
        <v>45412</v>
      </c>
      <c r="C114" s="40">
        <f t="shared" si="6"/>
        <v>45412</v>
      </c>
      <c r="D114" s="40">
        <f t="shared" si="7"/>
        <v>45473</v>
      </c>
      <c r="E114" s="43" t="str">
        <f>IF([1]JEs!D113=0,"",[1]JEs!D113)</f>
        <v>Data market fee expense</v>
      </c>
      <c r="F114" s="43" t="str">
        <f>IF([1]JEs!E113=0,"",[1]JEs!E113)</f>
        <v/>
      </c>
      <c r="G114" s="43">
        <f>IF([1]JEs!F113=0,"",[1]JEs!F113)</f>
        <v>833.33333333333337</v>
      </c>
      <c r="H114" s="43" t="str">
        <f>IF([1]JEs!G113=0,"",[1]JEs!G113)</f>
        <v/>
      </c>
      <c r="I114" s="43" t="str">
        <f>IF([1]JEs!H113=0,"",[1]JEs!H113)</f>
        <v>Data market fee incurred - April 2024</v>
      </c>
      <c r="J114" s="43"/>
      <c r="K114" s="10" t="str">
        <f t="shared" si="8"/>
        <v>Data market fee expense</v>
      </c>
      <c r="L114" s="96">
        <f t="shared" si="9"/>
        <v>833.33333333333337</v>
      </c>
      <c r="M114" s="10" t="str">
        <f>VLOOKUP(K114,'Chart of Accounts'!$C:$D,2,0)</f>
        <v>Professional Fees</v>
      </c>
    </row>
    <row r="115" spans="1:13" ht="14.25" customHeight="1" outlineLevel="1" x14ac:dyDescent="0.25">
      <c r="B115" s="40">
        <f>+[1]JEs!B114</f>
        <v>45412</v>
      </c>
      <c r="C115" s="40">
        <f t="shared" si="6"/>
        <v>45412</v>
      </c>
      <c r="D115" s="40">
        <f t="shared" si="7"/>
        <v>45473</v>
      </c>
      <c r="E115" s="43" t="str">
        <f>IF([1]JEs!D114=0,"",[1]JEs!D114)</f>
        <v/>
      </c>
      <c r="F115" s="43" t="str">
        <f>IF([1]JEs!E114=0,"",[1]JEs!E114)</f>
        <v>Cash and cash equivalents</v>
      </c>
      <c r="G115" s="43" t="str">
        <f>IF([1]JEs!F114=0,"",[1]JEs!F114)</f>
        <v/>
      </c>
      <c r="H115" s="43">
        <f>IF([1]JEs!G114=0,"",[1]JEs!G114)</f>
        <v>833.33333333333337</v>
      </c>
      <c r="I115" s="43" t="str">
        <f>IF([1]JEs!H114=0,"",[1]JEs!H114)</f>
        <v>Payment for Data Service fee - April 2024</v>
      </c>
      <c r="J115" s="43"/>
      <c r="K115" s="10" t="str">
        <f t="shared" si="8"/>
        <v>Cash and cash equivalents</v>
      </c>
      <c r="L115" s="96">
        <f t="shared" si="9"/>
        <v>-833.33333333333337</v>
      </c>
      <c r="M115" s="188" t="str">
        <f>VLOOKUP(K115,'Chart of Accounts'!$C:$D,2,0)</f>
        <v>Cash and equivalents</v>
      </c>
    </row>
    <row r="116" spans="1:13" ht="14.25" customHeight="1" outlineLevel="1" x14ac:dyDescent="0.25">
      <c r="B116" s="40">
        <f>+[1]JEs!B115</f>
        <v>45443</v>
      </c>
      <c r="C116" s="40">
        <f t="shared" si="6"/>
        <v>45443</v>
      </c>
      <c r="D116" s="40">
        <f t="shared" si="7"/>
        <v>45473</v>
      </c>
      <c r="E116" s="43" t="str">
        <f>IF([1]JEs!D115=0,"",[1]JEs!D115)</f>
        <v>Data market fee expense</v>
      </c>
      <c r="F116" s="43" t="str">
        <f>IF([1]JEs!E115=0,"",[1]JEs!E115)</f>
        <v/>
      </c>
      <c r="G116" s="43">
        <f>IF([1]JEs!F115=0,"",[1]JEs!F115)</f>
        <v>833.33333333333337</v>
      </c>
      <c r="H116" s="43" t="str">
        <f>IF([1]JEs!G115=0,"",[1]JEs!G115)</f>
        <v/>
      </c>
      <c r="I116" s="43" t="str">
        <f>IF([1]JEs!H115=0,"",[1]JEs!H115)</f>
        <v>Data market fee incurred - May 2024</v>
      </c>
      <c r="J116" s="43"/>
      <c r="K116" s="10" t="str">
        <f t="shared" si="8"/>
        <v>Data market fee expense</v>
      </c>
      <c r="L116" s="96">
        <f t="shared" si="9"/>
        <v>833.33333333333337</v>
      </c>
      <c r="M116" s="10" t="str">
        <f>VLOOKUP(K116,'Chart of Accounts'!$C:$D,2,0)</f>
        <v>Professional Fees</v>
      </c>
    </row>
    <row r="117" spans="1:13" ht="14.25" customHeight="1" outlineLevel="1" x14ac:dyDescent="0.25">
      <c r="B117" s="40">
        <f>+[1]JEs!B116</f>
        <v>45443</v>
      </c>
      <c r="C117" s="40">
        <f t="shared" si="6"/>
        <v>45443</v>
      </c>
      <c r="D117" s="40">
        <f t="shared" si="7"/>
        <v>45473</v>
      </c>
      <c r="E117" s="43" t="str">
        <f>IF([1]JEs!D116=0,"",[1]JEs!D116)</f>
        <v/>
      </c>
      <c r="F117" s="43" t="str">
        <f>IF([1]JEs!E116=0,"",[1]JEs!E116)</f>
        <v>Cash and cash equivalents</v>
      </c>
      <c r="G117" s="43" t="str">
        <f>IF([1]JEs!F116=0,"",[1]JEs!F116)</f>
        <v/>
      </c>
      <c r="H117" s="43">
        <f>IF([1]JEs!G116=0,"",[1]JEs!G116)</f>
        <v>833.33333333333337</v>
      </c>
      <c r="I117" s="43" t="str">
        <f>IF([1]JEs!H116=0,"",[1]JEs!H116)</f>
        <v>Payment for Data Service fee - May 2024</v>
      </c>
      <c r="J117" s="43"/>
      <c r="K117" s="10" t="str">
        <f t="shared" si="8"/>
        <v>Cash and cash equivalents</v>
      </c>
      <c r="L117" s="96">
        <f t="shared" si="9"/>
        <v>-833.33333333333337</v>
      </c>
      <c r="M117" s="188" t="str">
        <f>VLOOKUP(K117,'Chart of Accounts'!$C:$D,2,0)</f>
        <v>Cash and equivalents</v>
      </c>
    </row>
    <row r="118" spans="1:13" ht="14.25" customHeight="1" outlineLevel="1" x14ac:dyDescent="0.25">
      <c r="B118" s="40">
        <f>+[1]JEs!B117</f>
        <v>45473</v>
      </c>
      <c r="C118" s="40">
        <f t="shared" si="6"/>
        <v>45473</v>
      </c>
      <c r="D118" s="40">
        <f t="shared" si="7"/>
        <v>45473</v>
      </c>
      <c r="E118" s="43" t="str">
        <f>IF([1]JEs!D117=0,"",[1]JEs!D117)</f>
        <v>Data market fee expense</v>
      </c>
      <c r="F118" s="43" t="str">
        <f>IF([1]JEs!E117=0,"",[1]JEs!E117)</f>
        <v/>
      </c>
      <c r="G118" s="43">
        <f>IF([1]JEs!F117=0,"",[1]JEs!F117)</f>
        <v>833.33333333333337</v>
      </c>
      <c r="H118" s="43" t="str">
        <f>IF([1]JEs!G117=0,"",[1]JEs!G117)</f>
        <v/>
      </c>
      <c r="I118" s="43" t="str">
        <f>IF([1]JEs!H117=0,"",[1]JEs!H117)</f>
        <v>Data market fee incurred - June 2024</v>
      </c>
      <c r="J118" s="43"/>
      <c r="K118" s="10" t="str">
        <f t="shared" si="8"/>
        <v>Data market fee expense</v>
      </c>
      <c r="L118" s="96">
        <f t="shared" si="9"/>
        <v>833.33333333333337</v>
      </c>
      <c r="M118" s="10" t="str">
        <f>VLOOKUP(K118,'Chart of Accounts'!$C:$D,2,0)</f>
        <v>Professional Fees</v>
      </c>
    </row>
    <row r="119" spans="1:13" ht="14.25" customHeight="1" outlineLevel="1" x14ac:dyDescent="0.25">
      <c r="B119" s="40">
        <f>+[1]JEs!B118</f>
        <v>45473</v>
      </c>
      <c r="C119" s="40">
        <f t="shared" si="6"/>
        <v>45473</v>
      </c>
      <c r="D119" s="40">
        <f t="shared" si="7"/>
        <v>45473</v>
      </c>
      <c r="E119" s="43" t="str">
        <f>IF([1]JEs!D118=0,"",[1]JEs!D118)</f>
        <v/>
      </c>
      <c r="F119" s="43" t="str">
        <f>IF([1]JEs!E118=0,"",[1]JEs!E118)</f>
        <v>Cash and cash equivalents</v>
      </c>
      <c r="G119" s="43" t="str">
        <f>IF([1]JEs!F118=0,"",[1]JEs!F118)</f>
        <v/>
      </c>
      <c r="H119" s="43">
        <f>IF([1]JEs!G118=0,"",[1]JEs!G118)</f>
        <v>833.33333333333337</v>
      </c>
      <c r="I119" s="43" t="str">
        <f>IF([1]JEs!H118=0,"",[1]JEs!H118)</f>
        <v>Payment for Data Service fee - June 2024</v>
      </c>
      <c r="J119" s="43"/>
      <c r="K119" s="10" t="str">
        <f t="shared" si="8"/>
        <v>Cash and cash equivalents</v>
      </c>
      <c r="L119" s="96">
        <f t="shared" si="9"/>
        <v>-833.33333333333337</v>
      </c>
      <c r="M119" s="188" t="str">
        <f>VLOOKUP(K119,'Chart of Accounts'!$C:$D,2,0)</f>
        <v>Cash and equivalents</v>
      </c>
    </row>
    <row r="120" spans="1:13" ht="14.25" customHeight="1" outlineLevel="1" x14ac:dyDescent="0.25">
      <c r="B120" s="40">
        <f>+[1]JEs!B119</f>
        <v>45504</v>
      </c>
      <c r="C120" s="40">
        <f t="shared" si="6"/>
        <v>45504</v>
      </c>
      <c r="D120" s="40">
        <f t="shared" si="7"/>
        <v>45565</v>
      </c>
      <c r="E120" s="43" t="str">
        <f>IF([1]JEs!D119=0,"",[1]JEs!D119)</f>
        <v>Data market fee expense</v>
      </c>
      <c r="F120" s="43" t="str">
        <f>IF([1]JEs!E119=0,"",[1]JEs!E119)</f>
        <v/>
      </c>
      <c r="G120" s="43">
        <f>IF([1]JEs!F119=0,"",[1]JEs!F119)</f>
        <v>833.33333333333337</v>
      </c>
      <c r="H120" s="43" t="str">
        <f>IF([1]JEs!G119=0,"",[1]JEs!G119)</f>
        <v/>
      </c>
      <c r="I120" s="43" t="str">
        <f>IF([1]JEs!H119=0,"",[1]JEs!H119)</f>
        <v>Data market fee incurred - July 2024</v>
      </c>
      <c r="J120" s="43"/>
      <c r="K120" s="10" t="str">
        <f t="shared" si="8"/>
        <v>Data market fee expense</v>
      </c>
      <c r="L120" s="96">
        <f t="shared" si="9"/>
        <v>833.33333333333337</v>
      </c>
      <c r="M120" s="10" t="str">
        <f>VLOOKUP(K120,'Chart of Accounts'!$C:$D,2,0)</f>
        <v>Professional Fees</v>
      </c>
    </row>
    <row r="121" spans="1:13" ht="14.25" customHeight="1" outlineLevel="1" x14ac:dyDescent="0.25">
      <c r="B121" s="40">
        <f>+[1]JEs!B120</f>
        <v>45504</v>
      </c>
      <c r="C121" s="40">
        <f t="shared" si="6"/>
        <v>45504</v>
      </c>
      <c r="D121" s="40">
        <f t="shared" si="7"/>
        <v>45565</v>
      </c>
      <c r="E121" s="43" t="str">
        <f>IF([1]JEs!D120=0,"",[1]JEs!D120)</f>
        <v/>
      </c>
      <c r="F121" s="43" t="str">
        <f>IF([1]JEs!E120=0,"",[1]JEs!E120)</f>
        <v>Cash and cash equivalents</v>
      </c>
      <c r="G121" s="43" t="str">
        <f>IF([1]JEs!F120=0,"",[1]JEs!F120)</f>
        <v/>
      </c>
      <c r="H121" s="43">
        <f>IF([1]JEs!G120=0,"",[1]JEs!G120)</f>
        <v>833.33333333333337</v>
      </c>
      <c r="I121" s="43" t="str">
        <f>IF([1]JEs!H120=0,"",[1]JEs!H120)</f>
        <v>Payment for Data Service fee - July 2024</v>
      </c>
      <c r="J121" s="43"/>
      <c r="K121" s="10" t="str">
        <f t="shared" si="8"/>
        <v>Cash and cash equivalents</v>
      </c>
      <c r="L121" s="96">
        <f t="shared" si="9"/>
        <v>-833.33333333333337</v>
      </c>
      <c r="M121" s="188" t="str">
        <f>VLOOKUP(K121,'Chart of Accounts'!$C:$D,2,0)</f>
        <v>Cash and equivalents</v>
      </c>
    </row>
    <row r="122" spans="1:13" ht="14.25" customHeight="1" outlineLevel="1" x14ac:dyDescent="0.25">
      <c r="B122" s="40">
        <f>+[1]JEs!B121</f>
        <v>45535</v>
      </c>
      <c r="C122" s="40">
        <f t="shared" si="6"/>
        <v>45535</v>
      </c>
      <c r="D122" s="40">
        <f t="shared" si="7"/>
        <v>45565</v>
      </c>
      <c r="E122" s="43" t="str">
        <f>IF([1]JEs!D121=0,"",[1]JEs!D121)</f>
        <v>Data market fee expense</v>
      </c>
      <c r="F122" s="43" t="str">
        <f>IF([1]JEs!E121=0,"",[1]JEs!E121)</f>
        <v/>
      </c>
      <c r="G122" s="43">
        <f>IF([1]JEs!F121=0,"",[1]JEs!F121)</f>
        <v>833.33333333333337</v>
      </c>
      <c r="H122" s="43" t="str">
        <f>IF([1]JEs!G121=0,"",[1]JEs!G121)</f>
        <v/>
      </c>
      <c r="I122" s="43" t="str">
        <f>IF([1]JEs!H121=0,"",[1]JEs!H121)</f>
        <v>Data market fee incurred - August 2024</v>
      </c>
      <c r="J122" s="43"/>
      <c r="K122" s="10" t="str">
        <f t="shared" si="8"/>
        <v>Data market fee expense</v>
      </c>
      <c r="L122" s="96">
        <f t="shared" si="9"/>
        <v>833.33333333333337</v>
      </c>
      <c r="M122" s="10" t="str">
        <f>VLOOKUP(K122,'Chart of Accounts'!$C:$D,2,0)</f>
        <v>Professional Fees</v>
      </c>
    </row>
    <row r="123" spans="1:13" ht="14.25" customHeight="1" outlineLevel="1" x14ac:dyDescent="0.25">
      <c r="B123" s="40">
        <f>+[1]JEs!B122</f>
        <v>45535</v>
      </c>
      <c r="C123" s="40">
        <f t="shared" si="6"/>
        <v>45535</v>
      </c>
      <c r="D123" s="40">
        <f t="shared" si="7"/>
        <v>45565</v>
      </c>
      <c r="E123" s="43" t="str">
        <f>IF([1]JEs!D122=0,"",[1]JEs!D122)</f>
        <v/>
      </c>
      <c r="F123" s="43" t="str">
        <f>IF([1]JEs!E122=0,"",[1]JEs!E122)</f>
        <v>Cash and cash equivalents</v>
      </c>
      <c r="G123" s="43" t="str">
        <f>IF([1]JEs!F122=0,"",[1]JEs!F122)</f>
        <v/>
      </c>
      <c r="H123" s="43">
        <f>IF([1]JEs!G122=0,"",[1]JEs!G122)</f>
        <v>833.33333333333337</v>
      </c>
      <c r="I123" s="43" t="str">
        <f>IF([1]JEs!H122=0,"",[1]JEs!H122)</f>
        <v>Payment for Data Service fee - August 2024</v>
      </c>
      <c r="J123" s="43"/>
      <c r="K123" s="10" t="str">
        <f t="shared" si="8"/>
        <v>Cash and cash equivalents</v>
      </c>
      <c r="L123" s="96">
        <f t="shared" si="9"/>
        <v>-833.33333333333337</v>
      </c>
      <c r="M123" s="188" t="str">
        <f>VLOOKUP(K123,'Chart of Accounts'!$C:$D,2,0)</f>
        <v>Cash and equivalents</v>
      </c>
    </row>
    <row r="124" spans="1:13" ht="14.25" customHeight="1" outlineLevel="1" x14ac:dyDescent="0.25">
      <c r="B124" s="40">
        <f>+[1]JEs!B123</f>
        <v>45565</v>
      </c>
      <c r="C124" s="40">
        <f t="shared" si="6"/>
        <v>45565</v>
      </c>
      <c r="D124" s="40">
        <f t="shared" si="7"/>
        <v>45565</v>
      </c>
      <c r="E124" s="43" t="str">
        <f>IF([1]JEs!D123=0,"",[1]JEs!D123)</f>
        <v>Data market fee expense</v>
      </c>
      <c r="F124" s="43" t="str">
        <f>IF([1]JEs!E123=0,"",[1]JEs!E123)</f>
        <v/>
      </c>
      <c r="G124" s="43">
        <f>IF([1]JEs!F123=0,"",[1]JEs!F123)</f>
        <v>833.33333333333337</v>
      </c>
      <c r="H124" s="43" t="str">
        <f>IF([1]JEs!G123=0,"",[1]JEs!G123)</f>
        <v/>
      </c>
      <c r="I124" s="43" t="str">
        <f>IF([1]JEs!H123=0,"",[1]JEs!H123)</f>
        <v>Data market fee incurred - September 2024</v>
      </c>
      <c r="J124" s="43"/>
      <c r="K124" s="10" t="str">
        <f t="shared" si="8"/>
        <v>Data market fee expense</v>
      </c>
      <c r="L124" s="96">
        <f t="shared" si="9"/>
        <v>833.33333333333337</v>
      </c>
      <c r="M124" s="10" t="str">
        <f>VLOOKUP(K124,'Chart of Accounts'!$C:$D,2,0)</f>
        <v>Professional Fees</v>
      </c>
    </row>
    <row r="125" spans="1:13" ht="14.25" customHeight="1" outlineLevel="1" x14ac:dyDescent="0.25">
      <c r="B125" s="40">
        <f>+[1]JEs!B124</f>
        <v>45565</v>
      </c>
      <c r="C125" s="40">
        <f t="shared" si="6"/>
        <v>45565</v>
      </c>
      <c r="D125" s="40">
        <f t="shared" si="7"/>
        <v>45565</v>
      </c>
      <c r="E125" s="43" t="str">
        <f>IF([1]JEs!D124=0,"",[1]JEs!D124)</f>
        <v/>
      </c>
      <c r="F125" s="43" t="str">
        <f>IF([1]JEs!E124=0,"",[1]JEs!E124)</f>
        <v>Cash and cash equivalents</v>
      </c>
      <c r="G125" s="43" t="str">
        <f>IF([1]JEs!F124=0,"",[1]JEs!F124)</f>
        <v/>
      </c>
      <c r="H125" s="43">
        <f>IF([1]JEs!G124=0,"",[1]JEs!G124)</f>
        <v>833.33333333333337</v>
      </c>
      <c r="I125" s="43" t="str">
        <f>IF([1]JEs!H124=0,"",[1]JEs!H124)</f>
        <v>Payment for Data Service fee - September 2024</v>
      </c>
      <c r="J125" s="43"/>
      <c r="K125" s="10" t="str">
        <f t="shared" si="8"/>
        <v>Cash and cash equivalents</v>
      </c>
      <c r="L125" s="96">
        <f t="shared" si="9"/>
        <v>-833.33333333333337</v>
      </c>
      <c r="M125" s="188" t="str">
        <f>VLOOKUP(K125,'Chart of Accounts'!$C:$D,2,0)</f>
        <v>Cash and equivalents</v>
      </c>
    </row>
    <row r="126" spans="1:13" ht="14.25" customHeight="1" outlineLevel="1" x14ac:dyDescent="0.25">
      <c r="B126" s="40">
        <f>+[1]JEs!B125</f>
        <v>45596</v>
      </c>
      <c r="C126" s="40">
        <f t="shared" si="6"/>
        <v>45596</v>
      </c>
      <c r="D126" s="40">
        <f t="shared" si="7"/>
        <v>45657</v>
      </c>
      <c r="E126" s="43" t="str">
        <f>IF([1]JEs!D125=0,"",[1]JEs!D125)</f>
        <v>Data market fee expense</v>
      </c>
      <c r="F126" s="43" t="str">
        <f>IF([1]JEs!E125=0,"",[1]JEs!E125)</f>
        <v/>
      </c>
      <c r="G126" s="43">
        <f>IF([1]JEs!F125=0,"",[1]JEs!F125)</f>
        <v>833.33333333333337</v>
      </c>
      <c r="H126" s="43" t="str">
        <f>IF([1]JEs!G125=0,"",[1]JEs!G125)</f>
        <v/>
      </c>
      <c r="I126" s="43" t="str">
        <f>IF([1]JEs!H125=0,"",[1]JEs!H125)</f>
        <v>Data market fee incurred - October 2024</v>
      </c>
      <c r="J126" s="43"/>
      <c r="K126" s="10" t="str">
        <f t="shared" si="8"/>
        <v>Data market fee expense</v>
      </c>
      <c r="L126" s="96">
        <f t="shared" si="9"/>
        <v>833.33333333333337</v>
      </c>
      <c r="M126" s="10" t="str">
        <f>VLOOKUP(K126,'Chart of Accounts'!$C:$D,2,0)</f>
        <v>Professional Fees</v>
      </c>
    </row>
    <row r="127" spans="1:13" ht="14.25" customHeight="1" outlineLevel="1" x14ac:dyDescent="0.25">
      <c r="B127" s="40">
        <f>+[1]JEs!B126</f>
        <v>45596</v>
      </c>
      <c r="C127" s="40">
        <f t="shared" si="6"/>
        <v>45596</v>
      </c>
      <c r="D127" s="40">
        <f t="shared" si="7"/>
        <v>45657</v>
      </c>
      <c r="E127" s="43" t="str">
        <f>IF([1]JEs!D126=0,"",[1]JEs!D126)</f>
        <v/>
      </c>
      <c r="F127" s="43" t="str">
        <f>IF([1]JEs!E126=0,"",[1]JEs!E126)</f>
        <v>Cash and cash equivalents</v>
      </c>
      <c r="G127" s="43" t="str">
        <f>IF([1]JEs!F126=0,"",[1]JEs!F126)</f>
        <v/>
      </c>
      <c r="H127" s="43">
        <f>IF([1]JEs!G126=0,"",[1]JEs!G126)</f>
        <v>833.33333333333337</v>
      </c>
      <c r="I127" s="43" t="str">
        <f>IF([1]JEs!H126=0,"",[1]JEs!H126)</f>
        <v>Payment for Data Service fee - October 2024</v>
      </c>
      <c r="J127" s="43"/>
      <c r="K127" s="10" t="str">
        <f t="shared" si="8"/>
        <v>Cash and cash equivalents</v>
      </c>
      <c r="L127" s="96">
        <f t="shared" si="9"/>
        <v>-833.33333333333337</v>
      </c>
      <c r="M127" s="188" t="str">
        <f>VLOOKUP(K127,'Chart of Accounts'!$C:$D,2,0)</f>
        <v>Cash and equivalents</v>
      </c>
    </row>
    <row r="128" spans="1:13" ht="14.25" customHeight="1" outlineLevel="1" x14ac:dyDescent="0.25">
      <c r="A128" s="41"/>
      <c r="B128" s="40">
        <f>+[1]JEs!B127</f>
        <v>45626</v>
      </c>
      <c r="C128" s="40">
        <f t="shared" si="6"/>
        <v>45626</v>
      </c>
      <c r="D128" s="40">
        <f t="shared" si="7"/>
        <v>45657</v>
      </c>
      <c r="E128" s="43" t="str">
        <f>IF([1]JEs!D127=0,"",[1]JEs!D127)</f>
        <v>Data market fee expense</v>
      </c>
      <c r="F128" s="43" t="str">
        <f>IF([1]JEs!E127=0,"",[1]JEs!E127)</f>
        <v/>
      </c>
      <c r="G128" s="43">
        <f>IF([1]JEs!F127=0,"",[1]JEs!F127)</f>
        <v>833.33333333333337</v>
      </c>
      <c r="H128" s="43" t="str">
        <f>IF([1]JEs!G127=0,"",[1]JEs!G127)</f>
        <v/>
      </c>
      <c r="I128" s="43" t="str">
        <f>IF([1]JEs!H127=0,"",[1]JEs!H127)</f>
        <v>Data market fee incurred - November 2024</v>
      </c>
      <c r="J128" s="43"/>
      <c r="K128" s="10" t="str">
        <f t="shared" si="8"/>
        <v>Data market fee expense</v>
      </c>
      <c r="L128" s="96">
        <f t="shared" si="9"/>
        <v>833.33333333333337</v>
      </c>
      <c r="M128" s="10" t="str">
        <f>VLOOKUP(K128,'Chart of Accounts'!$C:$D,2,0)</f>
        <v>Professional Fees</v>
      </c>
    </row>
    <row r="129" spans="1:13" ht="14.25" customHeight="1" outlineLevel="1" x14ac:dyDescent="0.25">
      <c r="A129" s="41"/>
      <c r="B129" s="40">
        <f>+[1]JEs!B128</f>
        <v>45626</v>
      </c>
      <c r="C129" s="40">
        <f t="shared" si="6"/>
        <v>45626</v>
      </c>
      <c r="D129" s="40">
        <f t="shared" si="7"/>
        <v>45657</v>
      </c>
      <c r="E129" s="43" t="str">
        <f>IF([1]JEs!D128=0,"",[1]JEs!D128)</f>
        <v/>
      </c>
      <c r="F129" s="43" t="str">
        <f>IF([1]JEs!E128=0,"",[1]JEs!E128)</f>
        <v>Cash and cash equivalents</v>
      </c>
      <c r="G129" s="43" t="str">
        <f>IF([1]JEs!F128=0,"",[1]JEs!F128)</f>
        <v/>
      </c>
      <c r="H129" s="43">
        <f>IF([1]JEs!G128=0,"",[1]JEs!G128)</f>
        <v>833.33333333333337</v>
      </c>
      <c r="I129" s="43" t="str">
        <f>IF([1]JEs!H128=0,"",[1]JEs!H128)</f>
        <v>Payment for Data Service fee - November 2024</v>
      </c>
      <c r="J129" s="43"/>
      <c r="K129" s="10" t="str">
        <f t="shared" si="8"/>
        <v>Cash and cash equivalents</v>
      </c>
      <c r="L129" s="96">
        <f t="shared" si="9"/>
        <v>-833.33333333333337</v>
      </c>
      <c r="M129" s="188" t="str">
        <f>VLOOKUP(K129,'Chart of Accounts'!$C:$D,2,0)</f>
        <v>Cash and equivalents</v>
      </c>
    </row>
    <row r="130" spans="1:13" ht="14.25" customHeight="1" outlineLevel="1" x14ac:dyDescent="0.25">
      <c r="A130" s="41"/>
      <c r="B130" s="40">
        <f>+[1]JEs!B129</f>
        <v>45657</v>
      </c>
      <c r="C130" s="40">
        <f t="shared" si="6"/>
        <v>45657</v>
      </c>
      <c r="D130" s="40">
        <f t="shared" si="7"/>
        <v>45657</v>
      </c>
      <c r="E130" s="43" t="str">
        <f>IF([1]JEs!D129=0,"",[1]JEs!D129)</f>
        <v>Data market fee expense</v>
      </c>
      <c r="F130" s="43" t="str">
        <f>IF([1]JEs!E129=0,"",[1]JEs!E129)</f>
        <v/>
      </c>
      <c r="G130" s="43">
        <f>IF([1]JEs!F129=0,"",[1]JEs!F129)</f>
        <v>833.33333333333337</v>
      </c>
      <c r="H130" s="43" t="str">
        <f>IF([1]JEs!G129=0,"",[1]JEs!G129)</f>
        <v/>
      </c>
      <c r="I130" s="43" t="str">
        <f>IF([1]JEs!H129=0,"",[1]JEs!H129)</f>
        <v>Data market fee incurred - December 2024</v>
      </c>
      <c r="J130" s="43"/>
      <c r="K130" s="10" t="str">
        <f t="shared" si="8"/>
        <v>Data market fee expense</v>
      </c>
      <c r="L130" s="96">
        <f t="shared" si="9"/>
        <v>833.33333333333337</v>
      </c>
      <c r="M130" s="10" t="str">
        <f>VLOOKUP(K130,'Chart of Accounts'!$C:$D,2,0)</f>
        <v>Professional Fees</v>
      </c>
    </row>
    <row r="131" spans="1:13" ht="14.25" customHeight="1" outlineLevel="1" x14ac:dyDescent="0.25">
      <c r="B131" s="40">
        <f>+[1]JEs!B130</f>
        <v>45657</v>
      </c>
      <c r="C131" s="40">
        <f t="shared" si="6"/>
        <v>45657</v>
      </c>
      <c r="D131" s="40">
        <f t="shared" si="7"/>
        <v>45657</v>
      </c>
      <c r="E131" s="43" t="str">
        <f>IF([1]JEs!D130=0,"",[1]JEs!D130)</f>
        <v/>
      </c>
      <c r="F131" s="43" t="str">
        <f>IF([1]JEs!E130=0,"",[1]JEs!E130)</f>
        <v>Cash and cash equivalents</v>
      </c>
      <c r="G131" s="43" t="str">
        <f>IF([1]JEs!F130=0,"",[1]JEs!F130)</f>
        <v/>
      </c>
      <c r="H131" s="43">
        <f>IF([1]JEs!G130=0,"",[1]JEs!G130)</f>
        <v>833.33333333333337</v>
      </c>
      <c r="I131" s="43" t="str">
        <f>IF([1]JEs!H130=0,"",[1]JEs!H130)</f>
        <v>Payment for Data Service fee - December 2024</v>
      </c>
      <c r="J131" s="43"/>
      <c r="K131" s="10" t="str">
        <f t="shared" si="8"/>
        <v>Cash and cash equivalents</v>
      </c>
      <c r="L131" s="96">
        <f t="shared" si="9"/>
        <v>-833.33333333333337</v>
      </c>
      <c r="M131" s="188" t="str">
        <f>VLOOKUP(K131,'Chart of Accounts'!$C:$D,2,0)</f>
        <v>Cash and equivalents</v>
      </c>
    </row>
    <row r="132" spans="1:13" ht="14.25" customHeight="1" outlineLevel="1" x14ac:dyDescent="0.25">
      <c r="B132" s="40">
        <f>+[1]JEs!B131</f>
        <v>45322</v>
      </c>
      <c r="C132" s="40">
        <f t="shared" si="6"/>
        <v>45322</v>
      </c>
      <c r="D132" s="40">
        <f t="shared" si="7"/>
        <v>45382</v>
      </c>
      <c r="E132" s="43" t="str">
        <f>IF([1]JEs!D131=0,"",[1]JEs!D131)</f>
        <v>Fund administration expense</v>
      </c>
      <c r="F132" s="43" t="str">
        <f>IF([1]JEs!E131=0,"",[1]JEs!E131)</f>
        <v/>
      </c>
      <c r="G132" s="43">
        <f>IF([1]JEs!F131=0,"",[1]JEs!F131)</f>
        <v>5000</v>
      </c>
      <c r="H132" s="43" t="str">
        <f>IF([1]JEs!G131=0,"",[1]JEs!G131)</f>
        <v/>
      </c>
      <c r="I132" s="43" t="str">
        <f>IF([1]JEs!H131=0,"",[1]JEs!H131)</f>
        <v>Fund admin expenses - January 2024</v>
      </c>
      <c r="J132" s="43"/>
      <c r="K132" s="10" t="str">
        <f t="shared" si="8"/>
        <v>Fund administration expense</v>
      </c>
      <c r="L132" s="96">
        <f t="shared" si="9"/>
        <v>5000</v>
      </c>
      <c r="M132" s="10" t="str">
        <f>VLOOKUP(K132,'Chart of Accounts'!$C:$D,2,0)</f>
        <v>Professional Fees</v>
      </c>
    </row>
    <row r="133" spans="1:13" ht="14.25" customHeight="1" outlineLevel="1" x14ac:dyDescent="0.25">
      <c r="B133" s="40">
        <f>+[1]JEs!B132</f>
        <v>45322</v>
      </c>
      <c r="C133" s="40">
        <f t="shared" si="6"/>
        <v>45322</v>
      </c>
      <c r="D133" s="40">
        <f t="shared" si="7"/>
        <v>45382</v>
      </c>
      <c r="E133" s="43" t="str">
        <f>IF([1]JEs!D132=0,"",[1]JEs!D132)</f>
        <v/>
      </c>
      <c r="F133" s="43" t="str">
        <f>IF([1]JEs!E132=0,"",[1]JEs!E132)</f>
        <v>Accrued expenses</v>
      </c>
      <c r="G133" s="43" t="str">
        <f>IF([1]JEs!F132=0,"",[1]JEs!F132)</f>
        <v/>
      </c>
      <c r="H133" s="43">
        <f>IF([1]JEs!G132=0,"",[1]JEs!G132)</f>
        <v>5000</v>
      </c>
      <c r="I133" s="43" t="str">
        <f>IF([1]JEs!H132=0,"",[1]JEs!H132)</f>
        <v>Accrued fund administration expenses - January 2024</v>
      </c>
      <c r="J133" s="43"/>
      <c r="K133" s="10" t="str">
        <f t="shared" si="8"/>
        <v>Accrued expenses</v>
      </c>
      <c r="L133" s="96">
        <f t="shared" si="9"/>
        <v>-5000</v>
      </c>
      <c r="M133" s="10" t="str">
        <f>VLOOKUP(K133,'Chart of Accounts'!$C:$D,2,0)</f>
        <v>Accrued expenses</v>
      </c>
    </row>
    <row r="134" spans="1:13" ht="14.25" customHeight="1" outlineLevel="1" x14ac:dyDescent="0.25">
      <c r="B134" s="40">
        <f>+[1]JEs!B133</f>
        <v>45351</v>
      </c>
      <c r="C134" s="40">
        <f t="shared" ref="C134:C156" si="10">EOMONTH(B134,0)</f>
        <v>45351</v>
      </c>
      <c r="D134" s="40">
        <f t="shared" ref="D134:D156" si="11">EOMONTH(B134,CEILING(MONTH(B134),3)-MONTH(B134))</f>
        <v>45382</v>
      </c>
      <c r="E134" s="43" t="str">
        <f>IF([1]JEs!D133=0,"",[1]JEs!D133)</f>
        <v>Fund administration expense</v>
      </c>
      <c r="F134" s="43" t="str">
        <f>IF([1]JEs!E133=0,"",[1]JEs!E133)</f>
        <v/>
      </c>
      <c r="G134" s="43">
        <f>IF([1]JEs!F133=0,"",[1]JEs!F133)</f>
        <v>5000</v>
      </c>
      <c r="H134" s="43" t="str">
        <f>IF([1]JEs!G133=0,"",[1]JEs!G133)</f>
        <v/>
      </c>
      <c r="I134" s="43" t="str">
        <f>IF([1]JEs!H133=0,"",[1]JEs!H133)</f>
        <v>Fund admin expenses - February 2024</v>
      </c>
      <c r="J134" s="43"/>
      <c r="K134" s="10" t="str">
        <f t="shared" ref="K134:K197" si="12">TRIM(E134&amp;F134)</f>
        <v>Fund administration expense</v>
      </c>
      <c r="L134" s="96">
        <f t="shared" ref="L134:L197" si="13">IF(G134="",-H134,G134)</f>
        <v>5000</v>
      </c>
      <c r="M134" s="10" t="str">
        <f>VLOOKUP(K134,'Chart of Accounts'!$C:$D,2,0)</f>
        <v>Professional Fees</v>
      </c>
    </row>
    <row r="135" spans="1:13" ht="14.25" customHeight="1" outlineLevel="1" x14ac:dyDescent="0.25">
      <c r="B135" s="40">
        <f>+[1]JEs!B134</f>
        <v>45351</v>
      </c>
      <c r="C135" s="40">
        <f t="shared" si="10"/>
        <v>45351</v>
      </c>
      <c r="D135" s="40">
        <f t="shared" si="11"/>
        <v>45382</v>
      </c>
      <c r="E135" s="43" t="str">
        <f>IF([1]JEs!D134=0,"",[1]JEs!D134)</f>
        <v/>
      </c>
      <c r="F135" s="43" t="str">
        <f>IF([1]JEs!E134=0,"",[1]JEs!E134)</f>
        <v>Accrued expenses</v>
      </c>
      <c r="G135" s="43" t="str">
        <f>IF([1]JEs!F134=0,"",[1]JEs!F134)</f>
        <v/>
      </c>
      <c r="H135" s="43">
        <f>IF([1]JEs!G134=0,"",[1]JEs!G134)</f>
        <v>5000</v>
      </c>
      <c r="I135" s="43" t="str">
        <f>IF([1]JEs!H134=0,"",[1]JEs!H134)</f>
        <v>Accrued fund administration expenses - February 2024</v>
      </c>
      <c r="J135" s="43"/>
      <c r="K135" s="10" t="str">
        <f t="shared" si="12"/>
        <v>Accrued expenses</v>
      </c>
      <c r="L135" s="96">
        <f t="shared" si="13"/>
        <v>-5000</v>
      </c>
      <c r="M135" s="10" t="str">
        <f>VLOOKUP(K135,'Chart of Accounts'!$C:$D,2,0)</f>
        <v>Accrued expenses</v>
      </c>
    </row>
    <row r="136" spans="1:13" ht="14.25" customHeight="1" outlineLevel="1" x14ac:dyDescent="0.25">
      <c r="B136" s="40">
        <f>+[1]JEs!B135</f>
        <v>45382</v>
      </c>
      <c r="C136" s="40">
        <f t="shared" si="10"/>
        <v>45382</v>
      </c>
      <c r="D136" s="40">
        <f t="shared" si="11"/>
        <v>45382</v>
      </c>
      <c r="E136" s="43" t="str">
        <f>IF([1]JEs!D135=0,"",[1]JEs!D135)</f>
        <v>Fund administration expense</v>
      </c>
      <c r="F136" s="43" t="str">
        <f>IF([1]JEs!E135=0,"",[1]JEs!E135)</f>
        <v/>
      </c>
      <c r="G136" s="43">
        <f>IF([1]JEs!F135=0,"",[1]JEs!F135)</f>
        <v>5000</v>
      </c>
      <c r="H136" s="43" t="str">
        <f>IF([1]JEs!G135=0,"",[1]JEs!G135)</f>
        <v/>
      </c>
      <c r="I136" s="43" t="str">
        <f>IF([1]JEs!H135=0,"",[1]JEs!H135)</f>
        <v>Fund admin expenses - March 2024</v>
      </c>
      <c r="J136" s="43"/>
      <c r="K136" s="10" t="str">
        <f t="shared" si="12"/>
        <v>Fund administration expense</v>
      </c>
      <c r="L136" s="96">
        <f t="shared" si="13"/>
        <v>5000</v>
      </c>
      <c r="M136" s="10" t="str">
        <f>VLOOKUP(K136,'Chart of Accounts'!$C:$D,2,0)</f>
        <v>Professional Fees</v>
      </c>
    </row>
    <row r="137" spans="1:13" ht="14.25" customHeight="1" outlineLevel="1" x14ac:dyDescent="0.25">
      <c r="B137" s="40">
        <f>+[1]JEs!B136</f>
        <v>45382</v>
      </c>
      <c r="C137" s="40">
        <f t="shared" si="10"/>
        <v>45382</v>
      </c>
      <c r="D137" s="40">
        <f t="shared" si="11"/>
        <v>45382</v>
      </c>
      <c r="E137" s="43" t="str">
        <f>IF([1]JEs!D136=0,"",[1]JEs!D136)</f>
        <v/>
      </c>
      <c r="F137" s="43" t="str">
        <f>IF([1]JEs!E136=0,"",[1]JEs!E136)</f>
        <v>Accrued expenses</v>
      </c>
      <c r="G137" s="43" t="str">
        <f>IF([1]JEs!F136=0,"",[1]JEs!F136)</f>
        <v/>
      </c>
      <c r="H137" s="43">
        <f>IF([1]JEs!G136=0,"",[1]JEs!G136)</f>
        <v>5000</v>
      </c>
      <c r="I137" s="43" t="str">
        <f>IF([1]JEs!H136=0,"",[1]JEs!H136)</f>
        <v>Accrued fund administration expenses - March 2024</v>
      </c>
      <c r="J137" s="43"/>
      <c r="K137" s="10" t="str">
        <f t="shared" si="12"/>
        <v>Accrued expenses</v>
      </c>
      <c r="L137" s="96">
        <f t="shared" si="13"/>
        <v>-5000</v>
      </c>
      <c r="M137" s="10" t="str">
        <f>VLOOKUP(K137,'Chart of Accounts'!$C:$D,2,0)</f>
        <v>Accrued expenses</v>
      </c>
    </row>
    <row r="138" spans="1:13" ht="14.25" customHeight="1" outlineLevel="1" x14ac:dyDescent="0.25">
      <c r="B138" s="40">
        <f>+[1]JEs!B137</f>
        <v>45412</v>
      </c>
      <c r="C138" s="40">
        <f t="shared" si="10"/>
        <v>45412</v>
      </c>
      <c r="D138" s="40">
        <f t="shared" si="11"/>
        <v>45473</v>
      </c>
      <c r="E138" s="43" t="str">
        <f>IF([1]JEs!D137=0,"",[1]JEs!D137)</f>
        <v>Fund administration expense</v>
      </c>
      <c r="F138" s="43" t="str">
        <f>IF([1]JEs!E137=0,"",[1]JEs!E137)</f>
        <v/>
      </c>
      <c r="G138" s="43">
        <f>IF([1]JEs!F137=0,"",[1]JEs!F137)</f>
        <v>5000</v>
      </c>
      <c r="H138" s="43" t="str">
        <f>IF([1]JEs!G137=0,"",[1]JEs!G137)</f>
        <v/>
      </c>
      <c r="I138" s="43" t="str">
        <f>IF([1]JEs!H137=0,"",[1]JEs!H137)</f>
        <v>Fund admin expenses - April 2024</v>
      </c>
      <c r="J138" s="43"/>
      <c r="K138" s="10" t="str">
        <f t="shared" si="12"/>
        <v>Fund administration expense</v>
      </c>
      <c r="L138" s="96">
        <f t="shared" si="13"/>
        <v>5000</v>
      </c>
      <c r="M138" s="10" t="str">
        <f>VLOOKUP(K138,'Chart of Accounts'!$C:$D,2,0)</f>
        <v>Professional Fees</v>
      </c>
    </row>
    <row r="139" spans="1:13" ht="14.25" customHeight="1" outlineLevel="1" x14ac:dyDescent="0.25">
      <c r="B139" s="40">
        <f>+[1]JEs!B138</f>
        <v>45412</v>
      </c>
      <c r="C139" s="40">
        <f t="shared" si="10"/>
        <v>45412</v>
      </c>
      <c r="D139" s="40">
        <f t="shared" si="11"/>
        <v>45473</v>
      </c>
      <c r="E139" s="43" t="str">
        <f>IF([1]JEs!D138=0,"",[1]JEs!D138)</f>
        <v/>
      </c>
      <c r="F139" s="43" t="str">
        <f>IF([1]JEs!E138=0,"",[1]JEs!E138)</f>
        <v>Accrued expenses</v>
      </c>
      <c r="G139" s="43" t="str">
        <f>IF([1]JEs!F138=0,"",[1]JEs!F138)</f>
        <v/>
      </c>
      <c r="H139" s="43">
        <f>IF([1]JEs!G138=0,"",[1]JEs!G138)</f>
        <v>5000</v>
      </c>
      <c r="I139" s="43" t="str">
        <f>IF([1]JEs!H138=0,"",[1]JEs!H138)</f>
        <v>Accrued fund administration expenses - April 2024</v>
      </c>
      <c r="J139" s="43"/>
      <c r="K139" s="10" t="str">
        <f t="shared" si="12"/>
        <v>Accrued expenses</v>
      </c>
      <c r="L139" s="96">
        <f t="shared" si="13"/>
        <v>-5000</v>
      </c>
      <c r="M139" s="10" t="str">
        <f>VLOOKUP(K139,'Chart of Accounts'!$C:$D,2,0)</f>
        <v>Accrued expenses</v>
      </c>
    </row>
    <row r="140" spans="1:13" ht="14.25" customHeight="1" outlineLevel="1" x14ac:dyDescent="0.25">
      <c r="B140" s="40">
        <f>+[1]JEs!B139</f>
        <v>45443</v>
      </c>
      <c r="C140" s="40">
        <f t="shared" si="10"/>
        <v>45443</v>
      </c>
      <c r="D140" s="40">
        <f t="shared" si="11"/>
        <v>45473</v>
      </c>
      <c r="E140" s="43" t="str">
        <f>IF([1]JEs!D139=0,"",[1]JEs!D139)</f>
        <v>Fund administration expense</v>
      </c>
      <c r="F140" s="43" t="str">
        <f>IF([1]JEs!E139=0,"",[1]JEs!E139)</f>
        <v/>
      </c>
      <c r="G140" s="43">
        <f>IF([1]JEs!F139=0,"",[1]JEs!F139)</f>
        <v>5000</v>
      </c>
      <c r="H140" s="43" t="str">
        <f>IF([1]JEs!G139=0,"",[1]JEs!G139)</f>
        <v/>
      </c>
      <c r="I140" s="43" t="str">
        <f>IF([1]JEs!H139=0,"",[1]JEs!H139)</f>
        <v>Fund admin expenses - May 2024</v>
      </c>
      <c r="J140" s="43"/>
      <c r="K140" s="10" t="str">
        <f t="shared" si="12"/>
        <v>Fund administration expense</v>
      </c>
      <c r="L140" s="96">
        <f t="shared" si="13"/>
        <v>5000</v>
      </c>
      <c r="M140" s="10" t="str">
        <f>VLOOKUP(K140,'Chart of Accounts'!$C:$D,2,0)</f>
        <v>Professional Fees</v>
      </c>
    </row>
    <row r="141" spans="1:13" outlineLevel="1" x14ac:dyDescent="0.25">
      <c r="B141" s="40">
        <f>+[1]JEs!B140</f>
        <v>45443</v>
      </c>
      <c r="C141" s="40">
        <f t="shared" si="10"/>
        <v>45443</v>
      </c>
      <c r="D141" s="40">
        <f t="shared" si="11"/>
        <v>45473</v>
      </c>
      <c r="E141" s="43" t="str">
        <f>IF([1]JEs!D140=0,"",[1]JEs!D140)</f>
        <v/>
      </c>
      <c r="F141" s="43" t="str">
        <f>IF([1]JEs!E140=0,"",[1]JEs!E140)</f>
        <v>Accrued expenses</v>
      </c>
      <c r="G141" s="43" t="str">
        <f>IF([1]JEs!F140=0,"",[1]JEs!F140)</f>
        <v/>
      </c>
      <c r="H141" s="43">
        <f>IF([1]JEs!G140=0,"",[1]JEs!G140)</f>
        <v>5000</v>
      </c>
      <c r="I141" s="43" t="str">
        <f>IF([1]JEs!H140=0,"",[1]JEs!H140)</f>
        <v>Accrued fund administration expenses - May 2024</v>
      </c>
      <c r="J141" s="43"/>
      <c r="K141" s="10" t="str">
        <f t="shared" si="12"/>
        <v>Accrued expenses</v>
      </c>
      <c r="L141" s="96">
        <f t="shared" si="13"/>
        <v>-5000</v>
      </c>
      <c r="M141" s="10" t="str">
        <f>VLOOKUP(K141,'Chart of Accounts'!$C:$D,2,0)</f>
        <v>Accrued expenses</v>
      </c>
    </row>
    <row r="142" spans="1:13" outlineLevel="1" x14ac:dyDescent="0.25">
      <c r="B142" s="40">
        <f>+[1]JEs!B141</f>
        <v>45473</v>
      </c>
      <c r="C142" s="40">
        <f t="shared" si="10"/>
        <v>45473</v>
      </c>
      <c r="D142" s="40">
        <f t="shared" si="11"/>
        <v>45473</v>
      </c>
      <c r="E142" s="43" t="str">
        <f>IF([1]JEs!D141=0,"",[1]JEs!D141)</f>
        <v>Fund administration expense</v>
      </c>
      <c r="F142" s="43" t="str">
        <f>IF([1]JEs!E141=0,"",[1]JEs!E141)</f>
        <v/>
      </c>
      <c r="G142" s="43">
        <f>IF([1]JEs!F141=0,"",[1]JEs!F141)</f>
        <v>5000</v>
      </c>
      <c r="H142" s="43" t="str">
        <f>IF([1]JEs!G141=0,"",[1]JEs!G141)</f>
        <v/>
      </c>
      <c r="I142" s="43" t="str">
        <f>IF([1]JEs!H141=0,"",[1]JEs!H141)</f>
        <v>Fund admin expenses - June 2024</v>
      </c>
      <c r="J142" s="43"/>
      <c r="K142" s="10" t="str">
        <f t="shared" si="12"/>
        <v>Fund administration expense</v>
      </c>
      <c r="L142" s="96">
        <f t="shared" si="13"/>
        <v>5000</v>
      </c>
      <c r="M142" s="10" t="str">
        <f>VLOOKUP(K142,'Chart of Accounts'!$C:$D,2,0)</f>
        <v>Professional Fees</v>
      </c>
    </row>
    <row r="143" spans="1:13" outlineLevel="1" x14ac:dyDescent="0.25">
      <c r="B143" s="40">
        <f>+[1]JEs!B142</f>
        <v>45473</v>
      </c>
      <c r="C143" s="40">
        <f t="shared" si="10"/>
        <v>45473</v>
      </c>
      <c r="D143" s="40">
        <f t="shared" si="11"/>
        <v>45473</v>
      </c>
      <c r="E143" s="43" t="str">
        <f>IF([1]JEs!D142=0,"",[1]JEs!D142)</f>
        <v/>
      </c>
      <c r="F143" s="43" t="str">
        <f>IF([1]JEs!E142=0,"",[1]JEs!E142)</f>
        <v>Accrued expenses</v>
      </c>
      <c r="G143" s="43" t="str">
        <f>IF([1]JEs!F142=0,"",[1]JEs!F142)</f>
        <v/>
      </c>
      <c r="H143" s="43">
        <f>IF([1]JEs!G142=0,"",[1]JEs!G142)</f>
        <v>5000</v>
      </c>
      <c r="I143" s="43" t="str">
        <f>IF([1]JEs!H142=0,"",[1]JEs!H142)</f>
        <v>Accrued fund administration expenses - June 2024</v>
      </c>
      <c r="J143" s="43"/>
      <c r="K143" s="10" t="str">
        <f t="shared" si="12"/>
        <v>Accrued expenses</v>
      </c>
      <c r="L143" s="96">
        <f t="shared" si="13"/>
        <v>-5000</v>
      </c>
      <c r="M143" s="10" t="str">
        <f>VLOOKUP(K143,'Chart of Accounts'!$C:$D,2,0)</f>
        <v>Accrued expenses</v>
      </c>
    </row>
    <row r="144" spans="1:13" outlineLevel="1" x14ac:dyDescent="0.25">
      <c r="B144" s="40">
        <f>+[1]JEs!B143</f>
        <v>45504</v>
      </c>
      <c r="C144" s="40">
        <f t="shared" si="10"/>
        <v>45504</v>
      </c>
      <c r="D144" s="40">
        <f t="shared" si="11"/>
        <v>45565</v>
      </c>
      <c r="E144" s="43" t="str">
        <f>IF([1]JEs!D143=0,"",[1]JEs!D143)</f>
        <v>Fund administration expense</v>
      </c>
      <c r="F144" s="43" t="str">
        <f>IF([1]JEs!E143=0,"",[1]JEs!E143)</f>
        <v/>
      </c>
      <c r="G144" s="43">
        <f>IF([1]JEs!F143=0,"",[1]JEs!F143)</f>
        <v>5000</v>
      </c>
      <c r="H144" s="43" t="str">
        <f>IF([1]JEs!G143=0,"",[1]JEs!G143)</f>
        <v/>
      </c>
      <c r="I144" s="43" t="str">
        <f>IF([1]JEs!H143=0,"",[1]JEs!H143)</f>
        <v>Fund admin expenses - July 2024</v>
      </c>
      <c r="J144" s="43"/>
      <c r="K144" s="10" t="str">
        <f t="shared" si="12"/>
        <v>Fund administration expense</v>
      </c>
      <c r="L144" s="96">
        <f t="shared" si="13"/>
        <v>5000</v>
      </c>
      <c r="M144" s="10" t="str">
        <f>VLOOKUP(K144,'Chart of Accounts'!$C:$D,2,0)</f>
        <v>Professional Fees</v>
      </c>
    </row>
    <row r="145" spans="1:13" outlineLevel="1" x14ac:dyDescent="0.25">
      <c r="B145" s="40">
        <f>+[1]JEs!B144</f>
        <v>45504</v>
      </c>
      <c r="C145" s="40">
        <f t="shared" si="10"/>
        <v>45504</v>
      </c>
      <c r="D145" s="40">
        <f t="shared" si="11"/>
        <v>45565</v>
      </c>
      <c r="E145" s="43" t="str">
        <f>IF([1]JEs!D144=0,"",[1]JEs!D144)</f>
        <v/>
      </c>
      <c r="F145" s="43" t="str">
        <f>IF([1]JEs!E144=0,"",[1]JEs!E144)</f>
        <v>Accrued expenses</v>
      </c>
      <c r="G145" s="43" t="str">
        <f>IF([1]JEs!F144=0,"",[1]JEs!F144)</f>
        <v/>
      </c>
      <c r="H145" s="43">
        <f>IF([1]JEs!G144=0,"",[1]JEs!G144)</f>
        <v>5000</v>
      </c>
      <c r="I145" s="43" t="str">
        <f>IF([1]JEs!H144=0,"",[1]JEs!H144)</f>
        <v>Accrued fund administration expenses - July 2024</v>
      </c>
      <c r="J145" s="43"/>
      <c r="K145" s="10" t="str">
        <f t="shared" si="12"/>
        <v>Accrued expenses</v>
      </c>
      <c r="L145" s="96">
        <f t="shared" si="13"/>
        <v>-5000</v>
      </c>
      <c r="M145" s="10" t="str">
        <f>VLOOKUP(K145,'Chart of Accounts'!$C:$D,2,0)</f>
        <v>Accrued expenses</v>
      </c>
    </row>
    <row r="146" spans="1:13" outlineLevel="1" x14ac:dyDescent="0.25">
      <c r="B146" s="40">
        <f>+[1]JEs!B145</f>
        <v>45535</v>
      </c>
      <c r="C146" s="40">
        <f t="shared" si="10"/>
        <v>45535</v>
      </c>
      <c r="D146" s="40">
        <f t="shared" si="11"/>
        <v>45565</v>
      </c>
      <c r="E146" s="43" t="str">
        <f>IF([1]JEs!D145=0,"",[1]JEs!D145)</f>
        <v>Fund administration expense</v>
      </c>
      <c r="F146" s="43" t="str">
        <f>IF([1]JEs!E145=0,"",[1]JEs!E145)</f>
        <v/>
      </c>
      <c r="G146" s="43">
        <f>IF([1]JEs!F145=0,"",[1]JEs!F145)</f>
        <v>5000</v>
      </c>
      <c r="H146" s="43" t="str">
        <f>IF([1]JEs!G145=0,"",[1]JEs!G145)</f>
        <v/>
      </c>
      <c r="I146" s="43" t="str">
        <f>IF([1]JEs!H145=0,"",[1]JEs!H145)</f>
        <v>Fund admin expenses - August 2024</v>
      </c>
      <c r="J146" s="43"/>
      <c r="K146" s="10" t="str">
        <f t="shared" si="12"/>
        <v>Fund administration expense</v>
      </c>
      <c r="L146" s="96">
        <f t="shared" si="13"/>
        <v>5000</v>
      </c>
      <c r="M146" s="10" t="str">
        <f>VLOOKUP(K146,'Chart of Accounts'!$C:$D,2,0)</f>
        <v>Professional Fees</v>
      </c>
    </row>
    <row r="147" spans="1:13" outlineLevel="1" x14ac:dyDescent="0.25">
      <c r="B147" s="40">
        <f>+[1]JEs!B146</f>
        <v>45535</v>
      </c>
      <c r="C147" s="40">
        <f t="shared" si="10"/>
        <v>45535</v>
      </c>
      <c r="D147" s="40">
        <f t="shared" si="11"/>
        <v>45565</v>
      </c>
      <c r="E147" s="43" t="str">
        <f>IF([1]JEs!D146=0,"",[1]JEs!D146)</f>
        <v/>
      </c>
      <c r="F147" s="43" t="str">
        <f>IF([1]JEs!E146=0,"",[1]JEs!E146)</f>
        <v>Accrued expenses</v>
      </c>
      <c r="G147" s="43" t="str">
        <f>IF([1]JEs!F146=0,"",[1]JEs!F146)</f>
        <v/>
      </c>
      <c r="H147" s="43">
        <f>IF([1]JEs!G146=0,"",[1]JEs!G146)</f>
        <v>5000</v>
      </c>
      <c r="I147" s="43" t="str">
        <f>IF([1]JEs!H146=0,"",[1]JEs!H146)</f>
        <v>Accrued fund administration expenses - August 2024</v>
      </c>
      <c r="J147" s="43"/>
      <c r="K147" s="10" t="str">
        <f t="shared" si="12"/>
        <v>Accrued expenses</v>
      </c>
      <c r="L147" s="96">
        <f t="shared" si="13"/>
        <v>-5000</v>
      </c>
      <c r="M147" s="10" t="str">
        <f>VLOOKUP(K147,'Chart of Accounts'!$C:$D,2,0)</f>
        <v>Accrued expenses</v>
      </c>
    </row>
    <row r="148" spans="1:13" outlineLevel="1" x14ac:dyDescent="0.25">
      <c r="B148" s="40">
        <f>+[1]JEs!B147</f>
        <v>45565</v>
      </c>
      <c r="C148" s="40">
        <f t="shared" si="10"/>
        <v>45565</v>
      </c>
      <c r="D148" s="40">
        <f t="shared" si="11"/>
        <v>45565</v>
      </c>
      <c r="E148" s="43" t="str">
        <f>IF([1]JEs!D147=0,"",[1]JEs!D147)</f>
        <v>Fund administration expense</v>
      </c>
      <c r="F148" s="43" t="str">
        <f>IF([1]JEs!E147=0,"",[1]JEs!E147)</f>
        <v/>
      </c>
      <c r="G148" s="43">
        <f>IF([1]JEs!F147=0,"",[1]JEs!F147)</f>
        <v>5000</v>
      </c>
      <c r="H148" s="43" t="str">
        <f>IF([1]JEs!G147=0,"",[1]JEs!G147)</f>
        <v/>
      </c>
      <c r="I148" s="43" t="str">
        <f>IF([1]JEs!H147=0,"",[1]JEs!H147)</f>
        <v>Fund admin expenses - September 2024</v>
      </c>
      <c r="J148" s="43"/>
      <c r="K148" s="10" t="str">
        <f t="shared" si="12"/>
        <v>Fund administration expense</v>
      </c>
      <c r="L148" s="96">
        <f t="shared" si="13"/>
        <v>5000</v>
      </c>
      <c r="M148" s="10" t="str">
        <f>VLOOKUP(K148,'Chart of Accounts'!$C:$D,2,0)</f>
        <v>Professional Fees</v>
      </c>
    </row>
    <row r="149" spans="1:13" outlineLevel="1" x14ac:dyDescent="0.25">
      <c r="B149" s="40">
        <f>+[1]JEs!B148</f>
        <v>45565</v>
      </c>
      <c r="C149" s="40">
        <f t="shared" si="10"/>
        <v>45565</v>
      </c>
      <c r="D149" s="40">
        <f t="shared" si="11"/>
        <v>45565</v>
      </c>
      <c r="E149" s="43" t="str">
        <f>IF([1]JEs!D148=0,"",[1]JEs!D148)</f>
        <v/>
      </c>
      <c r="F149" s="43" t="str">
        <f>IF([1]JEs!E148=0,"",[1]JEs!E148)</f>
        <v>Accrued expenses</v>
      </c>
      <c r="G149" s="43" t="str">
        <f>IF([1]JEs!F148=0,"",[1]JEs!F148)</f>
        <v/>
      </c>
      <c r="H149" s="43">
        <f>IF([1]JEs!G148=0,"",[1]JEs!G148)</f>
        <v>5000</v>
      </c>
      <c r="I149" s="43" t="str">
        <f>IF([1]JEs!H148=0,"",[1]JEs!H148)</f>
        <v>Accrued fund administration expenses - September 2024</v>
      </c>
      <c r="J149" s="43"/>
      <c r="K149" s="10" t="str">
        <f t="shared" si="12"/>
        <v>Accrued expenses</v>
      </c>
      <c r="L149" s="96">
        <f t="shared" si="13"/>
        <v>-5000</v>
      </c>
      <c r="M149" s="10" t="str">
        <f>VLOOKUP(K149,'Chart of Accounts'!$C:$D,2,0)</f>
        <v>Accrued expenses</v>
      </c>
    </row>
    <row r="150" spans="1:13" outlineLevel="1" x14ac:dyDescent="0.25">
      <c r="B150" s="40">
        <f>+[1]JEs!B149</f>
        <v>45596</v>
      </c>
      <c r="C150" s="40">
        <f t="shared" si="10"/>
        <v>45596</v>
      </c>
      <c r="D150" s="40">
        <f t="shared" si="11"/>
        <v>45657</v>
      </c>
      <c r="E150" s="43" t="str">
        <f>IF([1]JEs!D149=0,"",[1]JEs!D149)</f>
        <v>Fund administration expense</v>
      </c>
      <c r="F150" s="43" t="str">
        <f>IF([1]JEs!E149=0,"",[1]JEs!E149)</f>
        <v/>
      </c>
      <c r="G150" s="43">
        <f>IF([1]JEs!F149=0,"",[1]JEs!F149)</f>
        <v>5000</v>
      </c>
      <c r="H150" s="43" t="str">
        <f>IF([1]JEs!G149=0,"",[1]JEs!G149)</f>
        <v/>
      </c>
      <c r="I150" s="43" t="str">
        <f>IF([1]JEs!H149=0,"",[1]JEs!H149)</f>
        <v>Fund admin expenses - October 2024</v>
      </c>
      <c r="J150" s="43"/>
      <c r="K150" s="10" t="str">
        <f t="shared" si="12"/>
        <v>Fund administration expense</v>
      </c>
      <c r="L150" s="96">
        <f t="shared" si="13"/>
        <v>5000</v>
      </c>
      <c r="M150" s="10" t="str">
        <f>VLOOKUP(K150,'Chart of Accounts'!$C:$D,2,0)</f>
        <v>Professional Fees</v>
      </c>
    </row>
    <row r="151" spans="1:13" outlineLevel="1" x14ac:dyDescent="0.25">
      <c r="B151" s="40">
        <f>+[1]JEs!B150</f>
        <v>45596</v>
      </c>
      <c r="C151" s="40">
        <f t="shared" si="10"/>
        <v>45596</v>
      </c>
      <c r="D151" s="40">
        <f t="shared" si="11"/>
        <v>45657</v>
      </c>
      <c r="E151" s="43" t="str">
        <f>IF([1]JEs!D150=0,"",[1]JEs!D150)</f>
        <v/>
      </c>
      <c r="F151" s="43" t="str">
        <f>IF([1]JEs!E150=0,"",[1]JEs!E150)</f>
        <v>Accrued expenses</v>
      </c>
      <c r="G151" s="43" t="str">
        <f>IF([1]JEs!F150=0,"",[1]JEs!F150)</f>
        <v/>
      </c>
      <c r="H151" s="43">
        <f>IF([1]JEs!G150=0,"",[1]JEs!G150)</f>
        <v>5000</v>
      </c>
      <c r="I151" s="43" t="str">
        <f>IF([1]JEs!H150=0,"",[1]JEs!H150)</f>
        <v>Accrued fund administration expenses - October 2024</v>
      </c>
      <c r="J151" s="43"/>
      <c r="K151" s="10" t="str">
        <f t="shared" si="12"/>
        <v>Accrued expenses</v>
      </c>
      <c r="L151" s="96">
        <f t="shared" si="13"/>
        <v>-5000</v>
      </c>
      <c r="M151" s="10" t="str">
        <f>VLOOKUP(K151,'Chart of Accounts'!$C:$D,2,0)</f>
        <v>Accrued expenses</v>
      </c>
    </row>
    <row r="152" spans="1:13" outlineLevel="1" x14ac:dyDescent="0.25">
      <c r="B152" s="40">
        <f>+[1]JEs!B151</f>
        <v>45626</v>
      </c>
      <c r="C152" s="40">
        <f t="shared" si="10"/>
        <v>45626</v>
      </c>
      <c r="D152" s="40">
        <f t="shared" si="11"/>
        <v>45657</v>
      </c>
      <c r="E152" s="43" t="str">
        <f>IF([1]JEs!D151=0,"",[1]JEs!D151)</f>
        <v>Fund administration expense</v>
      </c>
      <c r="F152" s="43" t="str">
        <f>IF([1]JEs!E151=0,"",[1]JEs!E151)</f>
        <v/>
      </c>
      <c r="G152" s="43">
        <f>IF([1]JEs!F151=0,"",[1]JEs!F151)</f>
        <v>5000</v>
      </c>
      <c r="H152" s="43" t="str">
        <f>IF([1]JEs!G151=0,"",[1]JEs!G151)</f>
        <v/>
      </c>
      <c r="I152" s="43" t="str">
        <f>IF([1]JEs!H151=0,"",[1]JEs!H151)</f>
        <v>Fund admin expenses - November 2024</v>
      </c>
      <c r="J152" s="43"/>
      <c r="K152" s="10" t="str">
        <f t="shared" si="12"/>
        <v>Fund administration expense</v>
      </c>
      <c r="L152" s="96">
        <f t="shared" si="13"/>
        <v>5000</v>
      </c>
      <c r="M152" s="10" t="str">
        <f>VLOOKUP(K152,'Chart of Accounts'!$C:$D,2,0)</f>
        <v>Professional Fees</v>
      </c>
    </row>
    <row r="153" spans="1:13" outlineLevel="1" x14ac:dyDescent="0.25">
      <c r="B153" s="40">
        <f>+[1]JEs!B152</f>
        <v>45626</v>
      </c>
      <c r="C153" s="40">
        <f t="shared" si="10"/>
        <v>45626</v>
      </c>
      <c r="D153" s="40">
        <f t="shared" si="11"/>
        <v>45657</v>
      </c>
      <c r="E153" s="43" t="str">
        <f>IF([1]JEs!D152=0,"",[1]JEs!D152)</f>
        <v/>
      </c>
      <c r="F153" s="43" t="str">
        <f>IF([1]JEs!E152=0,"",[1]JEs!E152)</f>
        <v>Accrued expenses</v>
      </c>
      <c r="G153" s="43" t="str">
        <f>IF([1]JEs!F152=0,"",[1]JEs!F152)</f>
        <v/>
      </c>
      <c r="H153" s="43">
        <f>IF([1]JEs!G152=0,"",[1]JEs!G152)</f>
        <v>5000</v>
      </c>
      <c r="I153" s="43" t="str">
        <f>IF([1]JEs!H152=0,"",[1]JEs!H152)</f>
        <v>Accrued fund administration expenses - November 2024</v>
      </c>
      <c r="J153" s="43"/>
      <c r="K153" s="10" t="str">
        <f t="shared" si="12"/>
        <v>Accrued expenses</v>
      </c>
      <c r="L153" s="96">
        <f t="shared" si="13"/>
        <v>-5000</v>
      </c>
      <c r="M153" s="10" t="str">
        <f>VLOOKUP(K153,'Chart of Accounts'!$C:$D,2,0)</f>
        <v>Accrued expenses</v>
      </c>
    </row>
    <row r="154" spans="1:13" outlineLevel="1" x14ac:dyDescent="0.25">
      <c r="B154" s="40">
        <f>+[1]JEs!B153</f>
        <v>45657</v>
      </c>
      <c r="C154" s="40">
        <f t="shared" si="10"/>
        <v>45657</v>
      </c>
      <c r="D154" s="40">
        <f t="shared" si="11"/>
        <v>45657</v>
      </c>
      <c r="E154" s="43" t="str">
        <f>IF([1]JEs!D153=0,"",[1]JEs!D153)</f>
        <v>Fund administration expense</v>
      </c>
      <c r="F154" s="43" t="str">
        <f>IF([1]JEs!E153=0,"",[1]JEs!E153)</f>
        <v/>
      </c>
      <c r="G154" s="43">
        <f>IF([1]JEs!F153=0,"",[1]JEs!F153)</f>
        <v>5000</v>
      </c>
      <c r="H154" s="43" t="str">
        <f>IF([1]JEs!G153=0,"",[1]JEs!G153)</f>
        <v/>
      </c>
      <c r="I154" s="43" t="str">
        <f>IF([1]JEs!H153=0,"",[1]JEs!H153)</f>
        <v>Fund admin expenses - December 2024</v>
      </c>
      <c r="J154" s="43"/>
      <c r="K154" s="10" t="str">
        <f t="shared" si="12"/>
        <v>Fund administration expense</v>
      </c>
      <c r="L154" s="96">
        <f t="shared" si="13"/>
        <v>5000</v>
      </c>
      <c r="M154" s="10" t="str">
        <f>VLOOKUP(K154,'Chart of Accounts'!$C:$D,2,0)</f>
        <v>Professional Fees</v>
      </c>
    </row>
    <row r="155" spans="1:13" outlineLevel="1" x14ac:dyDescent="0.25">
      <c r="A155" s="45"/>
      <c r="B155" s="40">
        <f>+[1]JEs!B154</f>
        <v>45657</v>
      </c>
      <c r="C155" s="40">
        <f t="shared" si="10"/>
        <v>45657</v>
      </c>
      <c r="D155" s="40">
        <f t="shared" si="11"/>
        <v>45657</v>
      </c>
      <c r="E155" s="43" t="str">
        <f>IF([1]JEs!D154=0,"",[1]JEs!D154)</f>
        <v/>
      </c>
      <c r="F155" s="43" t="str">
        <f>IF([1]JEs!E154=0,"",[1]JEs!E154)</f>
        <v>Accrued expenses</v>
      </c>
      <c r="G155" s="43" t="str">
        <f>IF([1]JEs!F154=0,"",[1]JEs!F154)</f>
        <v/>
      </c>
      <c r="H155" s="43">
        <f>IF([1]JEs!G154=0,"",[1]JEs!G154)</f>
        <v>5000</v>
      </c>
      <c r="I155" s="43" t="str">
        <f>IF([1]JEs!H154=0,"",[1]JEs!H154)</f>
        <v>Accrued fund administration expenses - December 2024</v>
      </c>
      <c r="J155" s="43"/>
      <c r="K155" s="10" t="str">
        <f t="shared" si="12"/>
        <v>Accrued expenses</v>
      </c>
      <c r="L155" s="96">
        <f t="shared" si="13"/>
        <v>-5000</v>
      </c>
      <c r="M155" s="10" t="str">
        <f>VLOOKUP(K155,'Chart of Accounts'!$C:$D,2,0)</f>
        <v>Accrued expenses</v>
      </c>
    </row>
    <row r="156" spans="1:13" outlineLevel="1" x14ac:dyDescent="0.25">
      <c r="A156" s="45"/>
      <c r="B156" s="40">
        <f>+[1]JEs!B155</f>
        <v>45657</v>
      </c>
      <c r="C156" s="40">
        <f t="shared" si="10"/>
        <v>45657</v>
      </c>
      <c r="D156" s="40">
        <f t="shared" si="11"/>
        <v>45657</v>
      </c>
      <c r="E156" s="43" t="str">
        <f>IF([1]JEs!D155=0,"",[1]JEs!D155)</f>
        <v>Accrued expenses</v>
      </c>
      <c r="F156" s="43" t="str">
        <f>IF([1]JEs!E155=0,"",[1]JEs!E155)</f>
        <v/>
      </c>
      <c r="G156" s="43">
        <f>IF([1]JEs!F155=0,"",[1]JEs!F155)</f>
        <v>60000</v>
      </c>
      <c r="H156" s="43" t="str">
        <f>IF([1]JEs!G155=0,"",[1]JEs!G155)</f>
        <v/>
      </c>
      <c r="I156" s="43" t="str">
        <f>IF([1]JEs!H155=0,"",[1]JEs!H155)</f>
        <v>Annual fund administration service fee for 2024</v>
      </c>
      <c r="J156" s="43"/>
      <c r="K156" s="10" t="str">
        <f t="shared" si="12"/>
        <v>Accrued expenses</v>
      </c>
      <c r="L156" s="96">
        <f t="shared" si="13"/>
        <v>60000</v>
      </c>
      <c r="M156" s="10" t="str">
        <f>VLOOKUP(K156,'Chart of Accounts'!$C:$D,2,0)</f>
        <v>Accrued expenses</v>
      </c>
    </row>
    <row r="157" spans="1:13" outlineLevel="1" x14ac:dyDescent="0.25">
      <c r="B157" s="40">
        <f>+[1]JEs!B156</f>
        <v>45657</v>
      </c>
      <c r="C157" s="40">
        <f t="shared" ref="C157:C220" si="14">EOMONTH(B157,0)</f>
        <v>45657</v>
      </c>
      <c r="D157" s="40">
        <f t="shared" ref="D157:D220" si="15">EOMONTH(B157,CEILING(MONTH(B157),3)-MONTH(B157))</f>
        <v>45657</v>
      </c>
      <c r="E157" s="43" t="str">
        <f>IF([1]JEs!D156=0,"",[1]JEs!D156)</f>
        <v/>
      </c>
      <c r="F157" s="43" t="str">
        <f>IF([1]JEs!E156=0,"",[1]JEs!E156)</f>
        <v>Fund administration fee payable</v>
      </c>
      <c r="G157" s="43" t="str">
        <f>IF([1]JEs!F156=0,"",[1]JEs!F156)</f>
        <v/>
      </c>
      <c r="H157" s="43">
        <f>IF([1]JEs!G156=0,"",[1]JEs!G156)</f>
        <v>60000</v>
      </c>
      <c r="I157" s="43" t="str">
        <f>IF([1]JEs!H156=0,"",[1]JEs!H156)</f>
        <v>Payment for annual fund administration services rendered</v>
      </c>
      <c r="J157" s="43"/>
      <c r="K157" s="10" t="str">
        <f t="shared" si="12"/>
        <v>Fund administration fee payable</v>
      </c>
      <c r="L157" s="96">
        <f t="shared" si="13"/>
        <v>-60000</v>
      </c>
      <c r="M157" s="10" t="str">
        <f>VLOOKUP(K157,'Chart of Accounts'!$C:$D,2,0)</f>
        <v>Account payable</v>
      </c>
    </row>
    <row r="158" spans="1:13" outlineLevel="1" x14ac:dyDescent="0.25">
      <c r="B158" s="40">
        <f>+[1]JEs!B157</f>
        <v>45337</v>
      </c>
      <c r="C158" s="40">
        <f t="shared" si="14"/>
        <v>45351</v>
      </c>
      <c r="D158" s="40">
        <f t="shared" si="15"/>
        <v>45382</v>
      </c>
      <c r="E158" s="43" t="str">
        <f>IF([1]JEs!D157=0,"",[1]JEs!D157)</f>
        <v>Due diligence fee expense</v>
      </c>
      <c r="F158" s="43" t="str">
        <f>IF([1]JEs!E157=0,"",[1]JEs!E157)</f>
        <v/>
      </c>
      <c r="G158" s="43">
        <f>IF([1]JEs!F157=0,"",[1]JEs!F157)</f>
        <v>75000</v>
      </c>
      <c r="H158" s="43" t="str">
        <f>IF([1]JEs!G157=0,"",[1]JEs!G157)</f>
        <v/>
      </c>
      <c r="I158" s="43" t="str">
        <f>IF([1]JEs!H157=0,"",[1]JEs!H157)</f>
        <v>Due diligence fee expense incurred in February 2024</v>
      </c>
      <c r="J158" s="43"/>
      <c r="K158" s="10" t="str">
        <f t="shared" si="12"/>
        <v>Due diligence fee expense</v>
      </c>
      <c r="L158" s="96">
        <f t="shared" si="13"/>
        <v>75000</v>
      </c>
      <c r="M158" s="10" t="str">
        <f>VLOOKUP(K158,'Chart of Accounts'!$C:$D,2,0)</f>
        <v>Professional Fees</v>
      </c>
    </row>
    <row r="159" spans="1:13" outlineLevel="1" x14ac:dyDescent="0.25">
      <c r="B159" s="40">
        <f>+[1]JEs!B158</f>
        <v>45337</v>
      </c>
      <c r="C159" s="40">
        <f t="shared" si="14"/>
        <v>45351</v>
      </c>
      <c r="D159" s="40">
        <f t="shared" si="15"/>
        <v>45382</v>
      </c>
      <c r="E159" s="43" t="str">
        <f>IF([1]JEs!D158=0,"",[1]JEs!D158)</f>
        <v/>
      </c>
      <c r="F159" s="43" t="str">
        <f>IF([1]JEs!E158=0,"",[1]JEs!E158)</f>
        <v>Due diligence fee payable</v>
      </c>
      <c r="G159" s="43" t="str">
        <f>IF([1]JEs!F158=0,"",[1]JEs!F158)</f>
        <v/>
      </c>
      <c r="H159" s="43">
        <f>IF([1]JEs!G158=0,"",[1]JEs!G158)</f>
        <v>75000</v>
      </c>
      <c r="I159" s="43" t="str">
        <f>IF([1]JEs!H158=0,"",[1]JEs!H158)</f>
        <v>Payment of Due diligence fee expense incurred in February 2024</v>
      </c>
      <c r="J159" s="43"/>
      <c r="K159" s="10" t="str">
        <f t="shared" si="12"/>
        <v>Due diligence fee payable</v>
      </c>
      <c r="L159" s="96">
        <f t="shared" si="13"/>
        <v>-75000</v>
      </c>
      <c r="M159" s="10" t="str">
        <f>VLOOKUP(K159,'Chart of Accounts'!$C:$D,2,0)</f>
        <v>Account payable</v>
      </c>
    </row>
    <row r="160" spans="1:13" outlineLevel="1" x14ac:dyDescent="0.25">
      <c r="B160" s="40">
        <f>+[1]JEs!B159</f>
        <v>45382</v>
      </c>
      <c r="C160" s="40">
        <f t="shared" si="14"/>
        <v>45382</v>
      </c>
      <c r="D160" s="40">
        <f t="shared" si="15"/>
        <v>45382</v>
      </c>
      <c r="E160" s="43" t="str">
        <f>IF([1]JEs!D159=0,"",[1]JEs!D159)</f>
        <v>Due diligence fee payable</v>
      </c>
      <c r="F160" s="43" t="str">
        <f>IF([1]JEs!E159=0,"",[1]JEs!E159)</f>
        <v/>
      </c>
      <c r="G160" s="43">
        <f>IF([1]JEs!F159=0,"",[1]JEs!F159)</f>
        <v>75000</v>
      </c>
      <c r="H160" s="43" t="str">
        <f>IF([1]JEs!G159=0,"",[1]JEs!G159)</f>
        <v/>
      </c>
      <c r="I160" s="43" t="str">
        <f>IF([1]JEs!H159=0,"",[1]JEs!H159)</f>
        <v>Due diligence fee expense incurred in March 2024</v>
      </c>
      <c r="J160" s="43"/>
      <c r="K160" s="10" t="str">
        <f t="shared" si="12"/>
        <v>Due diligence fee payable</v>
      </c>
      <c r="L160" s="96">
        <f t="shared" si="13"/>
        <v>75000</v>
      </c>
      <c r="M160" s="10" t="str">
        <f>VLOOKUP(K160,'Chart of Accounts'!$C:$D,2,0)</f>
        <v>Account payable</v>
      </c>
    </row>
    <row r="161" spans="2:13" outlineLevel="1" x14ac:dyDescent="0.25">
      <c r="B161" s="40">
        <f>+[1]JEs!B160</f>
        <v>45382</v>
      </c>
      <c r="C161" s="40">
        <f t="shared" si="14"/>
        <v>45382</v>
      </c>
      <c r="D161" s="40">
        <f t="shared" si="15"/>
        <v>45382</v>
      </c>
      <c r="E161" s="43" t="str">
        <f>IF([1]JEs!D160=0,"",[1]JEs!D160)</f>
        <v/>
      </c>
      <c r="F161" s="43" t="str">
        <f>IF([1]JEs!E160=0,"",[1]JEs!E160)</f>
        <v>Cash and cash equivalents</v>
      </c>
      <c r="G161" s="43" t="str">
        <f>IF([1]JEs!F160=0,"",[1]JEs!F160)</f>
        <v/>
      </c>
      <c r="H161" s="43">
        <f>IF([1]JEs!G160=0,"",[1]JEs!G160)</f>
        <v>75000</v>
      </c>
      <c r="I161" s="43" t="str">
        <f>IF([1]JEs!H160=0,"",[1]JEs!H160)</f>
        <v>Payment of Due diligence fee expense incurred in March 2024</v>
      </c>
      <c r="J161" s="43"/>
      <c r="K161" s="10" t="str">
        <f t="shared" si="12"/>
        <v>Cash and cash equivalents</v>
      </c>
      <c r="L161" s="96">
        <f t="shared" si="13"/>
        <v>-75000</v>
      </c>
      <c r="M161" s="188" t="str">
        <f>VLOOKUP(K161,'Chart of Accounts'!$C:$D,2,0)</f>
        <v>Cash and equivalents</v>
      </c>
    </row>
    <row r="162" spans="2:13" outlineLevel="1" x14ac:dyDescent="0.25">
      <c r="B162" s="40">
        <f>+[1]JEs!B161</f>
        <v>45321</v>
      </c>
      <c r="C162" s="40">
        <f t="shared" si="14"/>
        <v>45322</v>
      </c>
      <c r="D162" s="40">
        <f t="shared" si="15"/>
        <v>45382</v>
      </c>
      <c r="E162" s="43" t="str">
        <f>IF([1]JEs!D161=0,"",[1]JEs!D161)</f>
        <v>Other professional fee expense</v>
      </c>
      <c r="F162" s="43" t="str">
        <f>IF([1]JEs!E161=0,"",[1]JEs!E161)</f>
        <v/>
      </c>
      <c r="G162" s="43">
        <f>IF([1]JEs!F161=0,"",[1]JEs!F161)</f>
        <v>2500</v>
      </c>
      <c r="H162" s="43" t="str">
        <f>IF([1]JEs!G161=0,"",[1]JEs!G161)</f>
        <v/>
      </c>
      <c r="I162" s="43" t="str">
        <f>IF([1]JEs!H161=0,"",[1]JEs!H161)</f>
        <v>Other monthly operational costs - January 2024</v>
      </c>
      <c r="J162" s="43"/>
      <c r="K162" s="10" t="str">
        <f t="shared" si="12"/>
        <v>Other professional fee expense</v>
      </c>
      <c r="L162" s="96">
        <f t="shared" si="13"/>
        <v>2500</v>
      </c>
      <c r="M162" s="10" t="str">
        <f>VLOOKUP(K162,'Chart of Accounts'!$C:$D,2,0)</f>
        <v>Professional Fees</v>
      </c>
    </row>
    <row r="163" spans="2:13" outlineLevel="1" x14ac:dyDescent="0.25">
      <c r="B163" s="40">
        <f>+[1]JEs!B162</f>
        <v>45321</v>
      </c>
      <c r="C163" s="40">
        <f t="shared" si="14"/>
        <v>45322</v>
      </c>
      <c r="D163" s="40">
        <f t="shared" si="15"/>
        <v>45382</v>
      </c>
      <c r="E163" s="43" t="str">
        <f>IF([1]JEs!D162=0,"",[1]JEs!D162)</f>
        <v/>
      </c>
      <c r="F163" s="43" t="str">
        <f>IF([1]JEs!E162=0,"",[1]JEs!E162)</f>
        <v>Cash and cash equivalents</v>
      </c>
      <c r="G163" s="43" t="str">
        <f>IF([1]JEs!F162=0,"",[1]JEs!F162)</f>
        <v/>
      </c>
      <c r="H163" s="43">
        <f>IF([1]JEs!G162=0,"",[1]JEs!G162)</f>
        <v>2500</v>
      </c>
      <c r="I163" s="43" t="str">
        <f>IF([1]JEs!H162=0,"",[1]JEs!H162)</f>
        <v>Other monthly operational costs - January 2024</v>
      </c>
      <c r="J163" s="43"/>
      <c r="K163" s="10" t="str">
        <f t="shared" si="12"/>
        <v>Cash and cash equivalents</v>
      </c>
      <c r="L163" s="96">
        <f t="shared" si="13"/>
        <v>-2500</v>
      </c>
      <c r="M163" s="188" t="str">
        <f>VLOOKUP(K163,'Chart of Accounts'!$C:$D,2,0)</f>
        <v>Cash and equivalents</v>
      </c>
    </row>
    <row r="164" spans="2:13" outlineLevel="1" x14ac:dyDescent="0.25">
      <c r="B164" s="40">
        <f>+[1]JEs!B163</f>
        <v>45351</v>
      </c>
      <c r="C164" s="40">
        <f t="shared" si="14"/>
        <v>45351</v>
      </c>
      <c r="D164" s="40">
        <f t="shared" si="15"/>
        <v>45382</v>
      </c>
      <c r="E164" s="43" t="str">
        <f>IF([1]JEs!D163=0,"",[1]JEs!D163)</f>
        <v>Other professional fee expense</v>
      </c>
      <c r="F164" s="43" t="str">
        <f>IF([1]JEs!E163=0,"",[1]JEs!E163)</f>
        <v/>
      </c>
      <c r="G164" s="43">
        <f>IF([1]JEs!F163=0,"",[1]JEs!F163)</f>
        <v>2500</v>
      </c>
      <c r="H164" s="43" t="str">
        <f>IF([1]JEs!G163=0,"",[1]JEs!G163)</f>
        <v/>
      </c>
      <c r="I164" s="43" t="str">
        <f>IF([1]JEs!H163=0,"",[1]JEs!H163)</f>
        <v>Other monthly operational costs - February 2024</v>
      </c>
      <c r="J164" s="43"/>
      <c r="K164" s="10" t="str">
        <f t="shared" si="12"/>
        <v>Other professional fee expense</v>
      </c>
      <c r="L164" s="96">
        <f t="shared" si="13"/>
        <v>2500</v>
      </c>
      <c r="M164" s="10" t="str">
        <f>VLOOKUP(K164,'Chart of Accounts'!$C:$D,2,0)</f>
        <v>Professional Fees</v>
      </c>
    </row>
    <row r="165" spans="2:13" outlineLevel="1" x14ac:dyDescent="0.25">
      <c r="B165" s="40">
        <f>+[1]JEs!B164</f>
        <v>45351</v>
      </c>
      <c r="C165" s="40">
        <f t="shared" si="14"/>
        <v>45351</v>
      </c>
      <c r="D165" s="40">
        <f t="shared" si="15"/>
        <v>45382</v>
      </c>
      <c r="E165" s="43" t="str">
        <f>IF([1]JEs!D164=0,"",[1]JEs!D164)</f>
        <v/>
      </c>
      <c r="F165" s="43" t="str">
        <f>IF([1]JEs!E164=0,"",[1]JEs!E164)</f>
        <v>Cash and cash equivalents</v>
      </c>
      <c r="G165" s="43" t="str">
        <f>IF([1]JEs!F164=0,"",[1]JEs!F164)</f>
        <v/>
      </c>
      <c r="H165" s="43">
        <f>IF([1]JEs!G164=0,"",[1]JEs!G164)</f>
        <v>2500</v>
      </c>
      <c r="I165" s="43" t="str">
        <f>IF([1]JEs!H164=0,"",[1]JEs!H164)</f>
        <v>Other monthly operational costs - February 2024</v>
      </c>
      <c r="J165" s="43"/>
      <c r="K165" s="10" t="str">
        <f t="shared" si="12"/>
        <v>Cash and cash equivalents</v>
      </c>
      <c r="L165" s="96">
        <f t="shared" si="13"/>
        <v>-2500</v>
      </c>
      <c r="M165" s="10" t="str">
        <f>VLOOKUP(K165,'Chart of Accounts'!$C:$D,2,0)</f>
        <v>Cash and equivalents</v>
      </c>
    </row>
    <row r="166" spans="2:13" outlineLevel="1" x14ac:dyDescent="0.25">
      <c r="B166" s="40">
        <f>+[1]JEs!B165</f>
        <v>45382</v>
      </c>
      <c r="C166" s="40">
        <f t="shared" si="14"/>
        <v>45382</v>
      </c>
      <c r="D166" s="40">
        <f t="shared" si="15"/>
        <v>45382</v>
      </c>
      <c r="E166" s="43" t="str">
        <f>IF([1]JEs!D165=0,"",[1]JEs!D165)</f>
        <v>Other professional fee expense</v>
      </c>
      <c r="F166" s="43" t="str">
        <f>IF([1]JEs!E165=0,"",[1]JEs!E165)</f>
        <v/>
      </c>
      <c r="G166" s="43">
        <f>IF([1]JEs!F165=0,"",[1]JEs!F165)</f>
        <v>2500</v>
      </c>
      <c r="H166" s="43" t="str">
        <f>IF([1]JEs!G165=0,"",[1]JEs!G165)</f>
        <v/>
      </c>
      <c r="I166" s="43" t="str">
        <f>IF([1]JEs!H165=0,"",[1]JEs!H165)</f>
        <v>Other monthly operational costs - March 2024</v>
      </c>
      <c r="J166" s="43"/>
      <c r="K166" s="10" t="str">
        <f t="shared" si="12"/>
        <v>Other professional fee expense</v>
      </c>
      <c r="L166" s="96">
        <f t="shared" si="13"/>
        <v>2500</v>
      </c>
      <c r="M166" s="10" t="str">
        <f>VLOOKUP(K166,'Chart of Accounts'!$C:$D,2,0)</f>
        <v>Professional Fees</v>
      </c>
    </row>
    <row r="167" spans="2:13" outlineLevel="1" x14ac:dyDescent="0.25">
      <c r="B167" s="40">
        <f>+[1]JEs!B166</f>
        <v>45382</v>
      </c>
      <c r="C167" s="40">
        <f t="shared" si="14"/>
        <v>45382</v>
      </c>
      <c r="D167" s="40">
        <f t="shared" si="15"/>
        <v>45382</v>
      </c>
      <c r="E167" s="43" t="str">
        <f>IF([1]JEs!D166=0,"",[1]JEs!D166)</f>
        <v/>
      </c>
      <c r="F167" s="43" t="str">
        <f>IF([1]JEs!E166=0,"",[1]JEs!E166)</f>
        <v>Cash and cash equivalents</v>
      </c>
      <c r="G167" s="43" t="str">
        <f>IF([1]JEs!F166=0,"",[1]JEs!F166)</f>
        <v/>
      </c>
      <c r="H167" s="43">
        <f>IF([1]JEs!G166=0,"",[1]JEs!G166)</f>
        <v>2500</v>
      </c>
      <c r="I167" s="43" t="str">
        <f>IF([1]JEs!H166=0,"",[1]JEs!H166)</f>
        <v>Other monthly operational costs - March 2024</v>
      </c>
      <c r="J167" s="43"/>
      <c r="K167" s="10" t="str">
        <f t="shared" si="12"/>
        <v>Cash and cash equivalents</v>
      </c>
      <c r="L167" s="96">
        <f t="shared" si="13"/>
        <v>-2500</v>
      </c>
      <c r="M167" s="10" t="str">
        <f>VLOOKUP(K167,'Chart of Accounts'!$C:$D,2,0)</f>
        <v>Cash and equivalents</v>
      </c>
    </row>
    <row r="168" spans="2:13" outlineLevel="1" x14ac:dyDescent="0.25">
      <c r="B168" s="40">
        <f>+[1]JEs!B167</f>
        <v>45412</v>
      </c>
      <c r="C168" s="40">
        <f t="shared" si="14"/>
        <v>45412</v>
      </c>
      <c r="D168" s="40">
        <f t="shared" si="15"/>
        <v>45473</v>
      </c>
      <c r="E168" s="43" t="str">
        <f>IF([1]JEs!D167=0,"",[1]JEs!D167)</f>
        <v>Other professional fee expense</v>
      </c>
      <c r="F168" s="43" t="str">
        <f>IF([1]JEs!E167=0,"",[1]JEs!E167)</f>
        <v/>
      </c>
      <c r="G168" s="43">
        <f>IF([1]JEs!F167=0,"",[1]JEs!F167)</f>
        <v>2500</v>
      </c>
      <c r="H168" s="43" t="str">
        <f>IF([1]JEs!G167=0,"",[1]JEs!G167)</f>
        <v/>
      </c>
      <c r="I168" s="43" t="str">
        <f>IF([1]JEs!H167=0,"",[1]JEs!H167)</f>
        <v>Other monthly operational costs - April 2024</v>
      </c>
      <c r="J168" s="43"/>
      <c r="K168" s="10" t="str">
        <f t="shared" si="12"/>
        <v>Other professional fee expense</v>
      </c>
      <c r="L168" s="96">
        <f t="shared" si="13"/>
        <v>2500</v>
      </c>
      <c r="M168" s="10" t="str">
        <f>VLOOKUP(K168,'Chart of Accounts'!$C:$D,2,0)</f>
        <v>Professional Fees</v>
      </c>
    </row>
    <row r="169" spans="2:13" outlineLevel="1" x14ac:dyDescent="0.25">
      <c r="B169" s="40">
        <f>+[1]JEs!B168</f>
        <v>45412</v>
      </c>
      <c r="C169" s="40">
        <f t="shared" si="14"/>
        <v>45412</v>
      </c>
      <c r="D169" s="40">
        <f t="shared" si="15"/>
        <v>45473</v>
      </c>
      <c r="E169" s="43" t="str">
        <f>IF([1]JEs!D168=0,"",[1]JEs!D168)</f>
        <v/>
      </c>
      <c r="F169" s="43" t="str">
        <f>IF([1]JEs!E168=0,"",[1]JEs!E168)</f>
        <v>Cash and cash equivalents</v>
      </c>
      <c r="G169" s="43" t="str">
        <f>IF([1]JEs!F168=0,"",[1]JEs!F168)</f>
        <v/>
      </c>
      <c r="H169" s="43">
        <f>IF([1]JEs!G168=0,"",[1]JEs!G168)</f>
        <v>2500</v>
      </c>
      <c r="I169" s="43" t="str">
        <f>IF([1]JEs!H168=0,"",[1]JEs!H168)</f>
        <v>Other monthly operational costs - April 2024</v>
      </c>
      <c r="J169" s="43"/>
      <c r="K169" s="10" t="str">
        <f t="shared" si="12"/>
        <v>Cash and cash equivalents</v>
      </c>
      <c r="L169" s="96">
        <f t="shared" si="13"/>
        <v>-2500</v>
      </c>
      <c r="M169" s="10" t="str">
        <f>VLOOKUP(K169,'Chart of Accounts'!$C:$D,2,0)</f>
        <v>Cash and equivalents</v>
      </c>
    </row>
    <row r="170" spans="2:13" outlineLevel="1" x14ac:dyDescent="0.25">
      <c r="B170" s="40">
        <f>+[1]JEs!B169</f>
        <v>45443</v>
      </c>
      <c r="C170" s="40">
        <f t="shared" si="14"/>
        <v>45443</v>
      </c>
      <c r="D170" s="40">
        <f t="shared" si="15"/>
        <v>45473</v>
      </c>
      <c r="E170" s="43" t="str">
        <f>IF([1]JEs!D169=0,"",[1]JEs!D169)</f>
        <v>Other professional fee expense</v>
      </c>
      <c r="F170" s="43" t="str">
        <f>IF([1]JEs!E169=0,"",[1]JEs!E169)</f>
        <v/>
      </c>
      <c r="G170" s="43">
        <f>IF([1]JEs!F169=0,"",[1]JEs!F169)</f>
        <v>2500</v>
      </c>
      <c r="H170" s="43" t="str">
        <f>IF([1]JEs!G169=0,"",[1]JEs!G169)</f>
        <v/>
      </c>
      <c r="I170" s="43" t="str">
        <f>IF([1]JEs!H169=0,"",[1]JEs!H169)</f>
        <v>Other monthly operational costs - May 2024</v>
      </c>
      <c r="J170" s="43"/>
      <c r="K170" s="10" t="str">
        <f t="shared" si="12"/>
        <v>Other professional fee expense</v>
      </c>
      <c r="L170" s="96">
        <f t="shared" si="13"/>
        <v>2500</v>
      </c>
      <c r="M170" s="10" t="str">
        <f>VLOOKUP(K170,'Chart of Accounts'!$C:$D,2,0)</f>
        <v>Professional Fees</v>
      </c>
    </row>
    <row r="171" spans="2:13" outlineLevel="1" x14ac:dyDescent="0.25">
      <c r="B171" s="40">
        <f>+[1]JEs!B170</f>
        <v>45443</v>
      </c>
      <c r="C171" s="40">
        <f t="shared" si="14"/>
        <v>45443</v>
      </c>
      <c r="D171" s="40">
        <f t="shared" si="15"/>
        <v>45473</v>
      </c>
      <c r="E171" s="43" t="str">
        <f>IF([1]JEs!D170=0,"",[1]JEs!D170)</f>
        <v/>
      </c>
      <c r="F171" s="43" t="str">
        <f>IF([1]JEs!E170=0,"",[1]JEs!E170)</f>
        <v>Cash and cash equivalents</v>
      </c>
      <c r="G171" s="43" t="str">
        <f>IF([1]JEs!F170=0,"",[1]JEs!F170)</f>
        <v/>
      </c>
      <c r="H171" s="43">
        <f>IF([1]JEs!G170=0,"",[1]JEs!G170)</f>
        <v>2500</v>
      </c>
      <c r="I171" s="43" t="str">
        <f>IF([1]JEs!H170=0,"",[1]JEs!H170)</f>
        <v>Other monthly operational costs - May 2024</v>
      </c>
      <c r="J171" s="43"/>
      <c r="K171" s="10" t="str">
        <f t="shared" si="12"/>
        <v>Cash and cash equivalents</v>
      </c>
      <c r="L171" s="96">
        <f t="shared" si="13"/>
        <v>-2500</v>
      </c>
      <c r="M171" s="10" t="str">
        <f>VLOOKUP(K171,'Chart of Accounts'!$C:$D,2,0)</f>
        <v>Cash and equivalents</v>
      </c>
    </row>
    <row r="172" spans="2:13" outlineLevel="1" x14ac:dyDescent="0.25">
      <c r="B172" s="40">
        <f>+[1]JEs!B171</f>
        <v>45473</v>
      </c>
      <c r="C172" s="40">
        <f t="shared" si="14"/>
        <v>45473</v>
      </c>
      <c r="D172" s="40">
        <f t="shared" si="15"/>
        <v>45473</v>
      </c>
      <c r="E172" s="43" t="str">
        <f>IF([1]JEs!D171=0,"",[1]JEs!D171)</f>
        <v>Other professional fee expense</v>
      </c>
      <c r="F172" s="43" t="str">
        <f>IF([1]JEs!E171=0,"",[1]JEs!E171)</f>
        <v/>
      </c>
      <c r="G172" s="43">
        <f>IF([1]JEs!F171=0,"",[1]JEs!F171)</f>
        <v>2500</v>
      </c>
      <c r="H172" s="43" t="str">
        <f>IF([1]JEs!G171=0,"",[1]JEs!G171)</f>
        <v/>
      </c>
      <c r="I172" s="43" t="str">
        <f>IF([1]JEs!H171=0,"",[1]JEs!H171)</f>
        <v>Other monthly operational costs - June 2024</v>
      </c>
      <c r="J172" s="43"/>
      <c r="K172" s="10" t="str">
        <f t="shared" si="12"/>
        <v>Other professional fee expense</v>
      </c>
      <c r="L172" s="96">
        <f t="shared" si="13"/>
        <v>2500</v>
      </c>
      <c r="M172" s="10" t="str">
        <f>VLOOKUP(K172,'Chart of Accounts'!$C:$D,2,0)</f>
        <v>Professional Fees</v>
      </c>
    </row>
    <row r="173" spans="2:13" outlineLevel="1" x14ac:dyDescent="0.25">
      <c r="B173" s="40">
        <f>+[1]JEs!B172</f>
        <v>45473</v>
      </c>
      <c r="C173" s="40">
        <f t="shared" si="14"/>
        <v>45473</v>
      </c>
      <c r="D173" s="40">
        <f t="shared" si="15"/>
        <v>45473</v>
      </c>
      <c r="E173" s="43" t="str">
        <f>IF([1]JEs!D172=0,"",[1]JEs!D172)</f>
        <v/>
      </c>
      <c r="F173" s="43" t="str">
        <f>IF([1]JEs!E172=0,"",[1]JEs!E172)</f>
        <v>Cash and cash equivalents</v>
      </c>
      <c r="G173" s="43" t="str">
        <f>IF([1]JEs!F172=0,"",[1]JEs!F172)</f>
        <v/>
      </c>
      <c r="H173" s="43">
        <f>IF([1]JEs!G172=0,"",[1]JEs!G172)</f>
        <v>2500</v>
      </c>
      <c r="I173" s="43" t="str">
        <f>IF([1]JEs!H172=0,"",[1]JEs!H172)</f>
        <v>Other monthly operational costs - June 2024</v>
      </c>
      <c r="J173" s="43"/>
      <c r="K173" s="10" t="str">
        <f t="shared" si="12"/>
        <v>Cash and cash equivalents</v>
      </c>
      <c r="L173" s="96">
        <f t="shared" si="13"/>
        <v>-2500</v>
      </c>
      <c r="M173" s="10" t="str">
        <f>VLOOKUP(K173,'Chart of Accounts'!$C:$D,2,0)</f>
        <v>Cash and equivalents</v>
      </c>
    </row>
    <row r="174" spans="2:13" outlineLevel="1" x14ac:dyDescent="0.25">
      <c r="B174" s="40">
        <f>+[1]JEs!B173</f>
        <v>45504</v>
      </c>
      <c r="C174" s="40">
        <f t="shared" si="14"/>
        <v>45504</v>
      </c>
      <c r="D174" s="40">
        <f t="shared" si="15"/>
        <v>45565</v>
      </c>
      <c r="E174" s="43" t="str">
        <f>IF([1]JEs!D173=0,"",[1]JEs!D173)</f>
        <v>Other professional fee expense</v>
      </c>
      <c r="F174" s="43" t="str">
        <f>IF([1]JEs!E173=0,"",[1]JEs!E173)</f>
        <v/>
      </c>
      <c r="G174" s="43">
        <f>IF([1]JEs!F173=0,"",[1]JEs!F173)</f>
        <v>2500</v>
      </c>
      <c r="H174" s="43" t="str">
        <f>IF([1]JEs!G173=0,"",[1]JEs!G173)</f>
        <v/>
      </c>
      <c r="I174" s="43" t="str">
        <f>IF([1]JEs!H173=0,"",[1]JEs!H173)</f>
        <v>Other monthly operational costs - July 2024</v>
      </c>
      <c r="J174" s="43"/>
      <c r="K174" s="10" t="str">
        <f t="shared" si="12"/>
        <v>Other professional fee expense</v>
      </c>
      <c r="L174" s="96">
        <f t="shared" si="13"/>
        <v>2500</v>
      </c>
      <c r="M174" s="10" t="str">
        <f>VLOOKUP(K174,'Chart of Accounts'!$C:$D,2,0)</f>
        <v>Professional Fees</v>
      </c>
    </row>
    <row r="175" spans="2:13" outlineLevel="1" x14ac:dyDescent="0.25">
      <c r="B175" s="40">
        <f>+[1]JEs!B174</f>
        <v>45504</v>
      </c>
      <c r="C175" s="40">
        <f t="shared" si="14"/>
        <v>45504</v>
      </c>
      <c r="D175" s="40">
        <f t="shared" si="15"/>
        <v>45565</v>
      </c>
      <c r="E175" s="43" t="str">
        <f>IF([1]JEs!D174=0,"",[1]JEs!D174)</f>
        <v/>
      </c>
      <c r="F175" s="43" t="str">
        <f>IF([1]JEs!E174=0,"",[1]JEs!E174)</f>
        <v>Cash and cash equivalents</v>
      </c>
      <c r="G175" s="43" t="str">
        <f>IF([1]JEs!F174=0,"",[1]JEs!F174)</f>
        <v/>
      </c>
      <c r="H175" s="43">
        <f>IF([1]JEs!G174=0,"",[1]JEs!G174)</f>
        <v>2500</v>
      </c>
      <c r="I175" s="43" t="str">
        <f>IF([1]JEs!H174=0,"",[1]JEs!H174)</f>
        <v>Other monthly operational costs - July 2024</v>
      </c>
      <c r="J175" s="43"/>
      <c r="K175" s="10" t="str">
        <f t="shared" si="12"/>
        <v>Cash and cash equivalents</v>
      </c>
      <c r="L175" s="96">
        <f t="shared" si="13"/>
        <v>-2500</v>
      </c>
      <c r="M175" s="10" t="str">
        <f>VLOOKUP(K175,'Chart of Accounts'!$C:$D,2,0)</f>
        <v>Cash and equivalents</v>
      </c>
    </row>
    <row r="176" spans="2:13" outlineLevel="1" x14ac:dyDescent="0.25">
      <c r="B176" s="40">
        <f>+[1]JEs!B175</f>
        <v>45535</v>
      </c>
      <c r="C176" s="40">
        <f t="shared" si="14"/>
        <v>45535</v>
      </c>
      <c r="D176" s="40">
        <f t="shared" si="15"/>
        <v>45565</v>
      </c>
      <c r="E176" s="43" t="str">
        <f>IF([1]JEs!D175=0,"",[1]JEs!D175)</f>
        <v>Other professional fee expense</v>
      </c>
      <c r="F176" s="43" t="str">
        <f>IF([1]JEs!E175=0,"",[1]JEs!E175)</f>
        <v/>
      </c>
      <c r="G176" s="43">
        <f>IF([1]JEs!F175=0,"",[1]JEs!F175)</f>
        <v>2500</v>
      </c>
      <c r="H176" s="43" t="str">
        <f>IF([1]JEs!G175=0,"",[1]JEs!G175)</f>
        <v/>
      </c>
      <c r="I176" s="43" t="str">
        <f>IF([1]JEs!H175=0,"",[1]JEs!H175)</f>
        <v>Other monthly operational costs - August 2024</v>
      </c>
      <c r="J176" s="43"/>
      <c r="K176" s="10" t="str">
        <f t="shared" si="12"/>
        <v>Other professional fee expense</v>
      </c>
      <c r="L176" s="96">
        <f t="shared" si="13"/>
        <v>2500</v>
      </c>
      <c r="M176" s="10" t="str">
        <f>VLOOKUP(K176,'Chart of Accounts'!$C:$D,2,0)</f>
        <v>Professional Fees</v>
      </c>
    </row>
    <row r="177" spans="2:13" outlineLevel="1" x14ac:dyDescent="0.25">
      <c r="B177" s="40">
        <f>+[1]JEs!B176</f>
        <v>45535</v>
      </c>
      <c r="C177" s="40">
        <f t="shared" si="14"/>
        <v>45535</v>
      </c>
      <c r="D177" s="40">
        <f t="shared" si="15"/>
        <v>45565</v>
      </c>
      <c r="E177" s="43" t="str">
        <f>IF([1]JEs!D176=0,"",[1]JEs!D176)</f>
        <v/>
      </c>
      <c r="F177" s="43" t="str">
        <f>IF([1]JEs!E176=0,"",[1]JEs!E176)</f>
        <v>Cash and cash equivalents</v>
      </c>
      <c r="G177" s="43" t="str">
        <f>IF([1]JEs!F176=0,"",[1]JEs!F176)</f>
        <v/>
      </c>
      <c r="H177" s="43">
        <f>IF([1]JEs!G176=0,"",[1]JEs!G176)</f>
        <v>2500</v>
      </c>
      <c r="I177" s="43" t="str">
        <f>IF([1]JEs!H176=0,"",[1]JEs!H176)</f>
        <v>Other monthly operational costs - August 2024</v>
      </c>
      <c r="J177" s="43"/>
      <c r="K177" s="10" t="str">
        <f t="shared" si="12"/>
        <v>Cash and cash equivalents</v>
      </c>
      <c r="L177" s="96">
        <f t="shared" si="13"/>
        <v>-2500</v>
      </c>
      <c r="M177" s="10" t="str">
        <f>VLOOKUP(K177,'Chart of Accounts'!$C:$D,2,0)</f>
        <v>Cash and equivalents</v>
      </c>
    </row>
    <row r="178" spans="2:13" outlineLevel="1" x14ac:dyDescent="0.25">
      <c r="B178" s="40">
        <f>+[1]JEs!B177</f>
        <v>45565</v>
      </c>
      <c r="C178" s="40">
        <f t="shared" si="14"/>
        <v>45565</v>
      </c>
      <c r="D178" s="40">
        <f t="shared" si="15"/>
        <v>45565</v>
      </c>
      <c r="E178" s="43" t="str">
        <f>IF([1]JEs!D177=0,"",[1]JEs!D177)</f>
        <v>Other professional fee expense</v>
      </c>
      <c r="F178" s="43" t="str">
        <f>IF([1]JEs!E177=0,"",[1]JEs!E177)</f>
        <v/>
      </c>
      <c r="G178" s="43">
        <f>IF([1]JEs!F177=0,"",[1]JEs!F177)</f>
        <v>2500</v>
      </c>
      <c r="H178" s="43" t="str">
        <f>IF([1]JEs!G177=0,"",[1]JEs!G177)</f>
        <v/>
      </c>
      <c r="I178" s="43" t="str">
        <f>IF([1]JEs!H177=0,"",[1]JEs!H177)</f>
        <v>Other monthly operational costs - September 2024</v>
      </c>
      <c r="J178" s="43"/>
      <c r="K178" s="10" t="str">
        <f t="shared" si="12"/>
        <v>Other professional fee expense</v>
      </c>
      <c r="L178" s="96">
        <f t="shared" si="13"/>
        <v>2500</v>
      </c>
      <c r="M178" s="10" t="str">
        <f>VLOOKUP(K178,'Chart of Accounts'!$C:$D,2,0)</f>
        <v>Professional Fees</v>
      </c>
    </row>
    <row r="179" spans="2:13" outlineLevel="1" x14ac:dyDescent="0.25">
      <c r="B179" s="40">
        <f>+[1]JEs!B178</f>
        <v>45565</v>
      </c>
      <c r="C179" s="40">
        <f t="shared" si="14"/>
        <v>45565</v>
      </c>
      <c r="D179" s="40">
        <f t="shared" si="15"/>
        <v>45565</v>
      </c>
      <c r="E179" s="43" t="str">
        <f>IF([1]JEs!D178=0,"",[1]JEs!D178)</f>
        <v/>
      </c>
      <c r="F179" s="43" t="str">
        <f>IF([1]JEs!E178=0,"",[1]JEs!E178)</f>
        <v>Cash and cash equivalents</v>
      </c>
      <c r="G179" s="43" t="str">
        <f>IF([1]JEs!F178=0,"",[1]JEs!F178)</f>
        <v/>
      </c>
      <c r="H179" s="43">
        <f>IF([1]JEs!G178=0,"",[1]JEs!G178)</f>
        <v>2500</v>
      </c>
      <c r="I179" s="43" t="str">
        <f>IF([1]JEs!H178=0,"",[1]JEs!H178)</f>
        <v>Other monthly operational costs - September 2024</v>
      </c>
      <c r="J179" s="43"/>
      <c r="K179" s="10" t="str">
        <f t="shared" si="12"/>
        <v>Cash and cash equivalents</v>
      </c>
      <c r="L179" s="96">
        <f t="shared" si="13"/>
        <v>-2500</v>
      </c>
      <c r="M179" s="10" t="str">
        <f>VLOOKUP(K179,'Chart of Accounts'!$C:$D,2,0)</f>
        <v>Cash and equivalents</v>
      </c>
    </row>
    <row r="180" spans="2:13" outlineLevel="1" x14ac:dyDescent="0.25">
      <c r="B180" s="40">
        <f>+[1]JEs!B179</f>
        <v>45596</v>
      </c>
      <c r="C180" s="40">
        <f t="shared" si="14"/>
        <v>45596</v>
      </c>
      <c r="D180" s="40">
        <f t="shared" si="15"/>
        <v>45657</v>
      </c>
      <c r="E180" s="43" t="str">
        <f>IF([1]JEs!D179=0,"",[1]JEs!D179)</f>
        <v>Other professional fee expense</v>
      </c>
      <c r="F180" s="43" t="str">
        <f>IF([1]JEs!E179=0,"",[1]JEs!E179)</f>
        <v/>
      </c>
      <c r="G180" s="43">
        <f>IF([1]JEs!F179=0,"",[1]JEs!F179)</f>
        <v>2500</v>
      </c>
      <c r="H180" s="43" t="str">
        <f>IF([1]JEs!G179=0,"",[1]JEs!G179)</f>
        <v/>
      </c>
      <c r="I180" s="43" t="str">
        <f>IF([1]JEs!H179=0,"",[1]JEs!H179)</f>
        <v>Other monthly operational costs - October 2024</v>
      </c>
      <c r="J180" s="43"/>
      <c r="K180" s="10" t="str">
        <f t="shared" si="12"/>
        <v>Other professional fee expense</v>
      </c>
      <c r="L180" s="96">
        <f t="shared" si="13"/>
        <v>2500</v>
      </c>
      <c r="M180" s="10" t="str">
        <f>VLOOKUP(K180,'Chart of Accounts'!$C:$D,2,0)</f>
        <v>Professional Fees</v>
      </c>
    </row>
    <row r="181" spans="2:13" outlineLevel="1" x14ac:dyDescent="0.25">
      <c r="B181" s="40">
        <f>+[1]JEs!B180</f>
        <v>45596</v>
      </c>
      <c r="C181" s="40">
        <f t="shared" si="14"/>
        <v>45596</v>
      </c>
      <c r="D181" s="40">
        <f t="shared" si="15"/>
        <v>45657</v>
      </c>
      <c r="E181" s="43" t="str">
        <f>IF([1]JEs!D180=0,"",[1]JEs!D180)</f>
        <v/>
      </c>
      <c r="F181" s="43" t="str">
        <f>IF([1]JEs!E180=0,"",[1]JEs!E180)</f>
        <v>Cash and cash equivalents</v>
      </c>
      <c r="G181" s="43" t="str">
        <f>IF([1]JEs!F180=0,"",[1]JEs!F180)</f>
        <v/>
      </c>
      <c r="H181" s="43">
        <f>IF([1]JEs!G180=0,"",[1]JEs!G180)</f>
        <v>2500</v>
      </c>
      <c r="I181" s="43" t="str">
        <f>IF([1]JEs!H180=0,"",[1]JEs!H180)</f>
        <v>Other monthly operational costs - October 2024</v>
      </c>
      <c r="J181" s="43"/>
      <c r="K181" s="10" t="str">
        <f t="shared" si="12"/>
        <v>Cash and cash equivalents</v>
      </c>
      <c r="L181" s="96">
        <f t="shared" si="13"/>
        <v>-2500</v>
      </c>
      <c r="M181" s="10" t="str">
        <f>VLOOKUP(K181,'Chart of Accounts'!$C:$D,2,0)</f>
        <v>Cash and equivalents</v>
      </c>
    </row>
    <row r="182" spans="2:13" outlineLevel="1" x14ac:dyDescent="0.25">
      <c r="B182" s="40">
        <f>+[1]JEs!B181</f>
        <v>45626</v>
      </c>
      <c r="C182" s="40">
        <f t="shared" si="14"/>
        <v>45626</v>
      </c>
      <c r="D182" s="40">
        <f t="shared" si="15"/>
        <v>45657</v>
      </c>
      <c r="E182" s="43" t="str">
        <f>IF([1]JEs!D181=0,"",[1]JEs!D181)</f>
        <v>Other professional fee expense</v>
      </c>
      <c r="F182" s="43" t="str">
        <f>IF([1]JEs!E181=0,"",[1]JEs!E181)</f>
        <v/>
      </c>
      <c r="G182" s="43">
        <f>IF([1]JEs!F181=0,"",[1]JEs!F181)</f>
        <v>2500</v>
      </c>
      <c r="H182" s="43" t="str">
        <f>IF([1]JEs!G181=0,"",[1]JEs!G181)</f>
        <v/>
      </c>
      <c r="I182" s="43" t="str">
        <f>IF([1]JEs!H181=0,"",[1]JEs!H181)</f>
        <v>Other monthly operational costs - November 2024</v>
      </c>
      <c r="J182" s="43"/>
      <c r="K182" s="10" t="str">
        <f t="shared" si="12"/>
        <v>Other professional fee expense</v>
      </c>
      <c r="L182" s="96">
        <f t="shared" si="13"/>
        <v>2500</v>
      </c>
      <c r="M182" s="10" t="str">
        <f>VLOOKUP(K182,'Chart of Accounts'!$C:$D,2,0)</f>
        <v>Professional Fees</v>
      </c>
    </row>
    <row r="183" spans="2:13" outlineLevel="1" x14ac:dyDescent="0.25">
      <c r="B183" s="40">
        <f>+[1]JEs!B182</f>
        <v>45626</v>
      </c>
      <c r="C183" s="40">
        <f t="shared" si="14"/>
        <v>45626</v>
      </c>
      <c r="D183" s="40">
        <f t="shared" si="15"/>
        <v>45657</v>
      </c>
      <c r="E183" s="43" t="str">
        <f>IF([1]JEs!D182=0,"",[1]JEs!D182)</f>
        <v/>
      </c>
      <c r="F183" s="43" t="str">
        <f>IF([1]JEs!E182=0,"",[1]JEs!E182)</f>
        <v>Cash and cash equivalents</v>
      </c>
      <c r="G183" s="43" t="str">
        <f>IF([1]JEs!F182=0,"",[1]JEs!F182)</f>
        <v/>
      </c>
      <c r="H183" s="43">
        <f>IF([1]JEs!G182=0,"",[1]JEs!G182)</f>
        <v>2500</v>
      </c>
      <c r="I183" s="43" t="str">
        <f>IF([1]JEs!H182=0,"",[1]JEs!H182)</f>
        <v>Other monthly operational costs - November 2024</v>
      </c>
      <c r="J183" s="43"/>
      <c r="K183" s="10" t="str">
        <f t="shared" si="12"/>
        <v>Cash and cash equivalents</v>
      </c>
      <c r="L183" s="96">
        <f t="shared" si="13"/>
        <v>-2500</v>
      </c>
      <c r="M183" s="10" t="str">
        <f>VLOOKUP(K183,'Chart of Accounts'!$C:$D,2,0)</f>
        <v>Cash and equivalents</v>
      </c>
    </row>
    <row r="184" spans="2:13" outlineLevel="1" x14ac:dyDescent="0.25">
      <c r="B184" s="40">
        <f>+[1]JEs!B183</f>
        <v>45657</v>
      </c>
      <c r="C184" s="40">
        <f t="shared" si="14"/>
        <v>45657</v>
      </c>
      <c r="D184" s="40">
        <f t="shared" si="15"/>
        <v>45657</v>
      </c>
      <c r="E184" s="43" t="str">
        <f>IF([1]JEs!D183=0,"",[1]JEs!D183)</f>
        <v>Other professional fee expense</v>
      </c>
      <c r="F184" s="43" t="str">
        <f>IF([1]JEs!E183=0,"",[1]JEs!E183)</f>
        <v/>
      </c>
      <c r="G184" s="43">
        <f>IF([1]JEs!F183=0,"",[1]JEs!F183)</f>
        <v>2500</v>
      </c>
      <c r="H184" s="43" t="str">
        <f>IF([1]JEs!G183=0,"",[1]JEs!G183)</f>
        <v/>
      </c>
      <c r="I184" s="43" t="str">
        <f>IF([1]JEs!H183=0,"",[1]JEs!H183)</f>
        <v>Other monthly operational costs - December 2024</v>
      </c>
      <c r="J184" s="43"/>
      <c r="K184" s="10" t="str">
        <f t="shared" si="12"/>
        <v>Other professional fee expense</v>
      </c>
      <c r="L184" s="96">
        <f t="shared" si="13"/>
        <v>2500</v>
      </c>
      <c r="M184" s="10" t="str">
        <f>VLOOKUP(K184,'Chart of Accounts'!$C:$D,2,0)</f>
        <v>Professional Fees</v>
      </c>
    </row>
    <row r="185" spans="2:13" outlineLevel="1" x14ac:dyDescent="0.25">
      <c r="B185" s="40">
        <f>+[1]JEs!B184</f>
        <v>45657</v>
      </c>
      <c r="C185" s="40">
        <f t="shared" si="14"/>
        <v>45657</v>
      </c>
      <c r="D185" s="40">
        <f t="shared" si="15"/>
        <v>45657</v>
      </c>
      <c r="E185" s="43" t="str">
        <f>IF([1]JEs!D184=0,"",[1]JEs!D184)</f>
        <v/>
      </c>
      <c r="F185" s="43" t="str">
        <f>IF([1]JEs!E184=0,"",[1]JEs!E184)</f>
        <v>Cash and cash equivalents</v>
      </c>
      <c r="G185" s="43" t="str">
        <f>IF([1]JEs!F184=0,"",[1]JEs!F184)</f>
        <v/>
      </c>
      <c r="H185" s="43">
        <f>IF([1]JEs!G184=0,"",[1]JEs!G184)</f>
        <v>2500</v>
      </c>
      <c r="I185" s="43" t="str">
        <f>IF([1]JEs!H184=0,"",[1]JEs!H184)</f>
        <v>Other monthly operational costs - December 2024</v>
      </c>
      <c r="J185" s="43"/>
      <c r="K185" s="10" t="str">
        <f t="shared" si="12"/>
        <v>Cash and cash equivalents</v>
      </c>
      <c r="L185" s="96">
        <f t="shared" si="13"/>
        <v>-2500</v>
      </c>
      <c r="M185" s="10" t="str">
        <f>VLOOKUP(K185,'Chart of Accounts'!$C:$D,2,0)</f>
        <v>Cash and equivalents</v>
      </c>
    </row>
    <row r="186" spans="2:13" outlineLevel="1" x14ac:dyDescent="0.25">
      <c r="B186" s="40">
        <f>+[1]JEs!B185</f>
        <v>45351</v>
      </c>
      <c r="C186" s="40">
        <f t="shared" si="14"/>
        <v>45351</v>
      </c>
      <c r="D186" s="40">
        <f t="shared" si="15"/>
        <v>45382</v>
      </c>
      <c r="E186" s="43" t="str">
        <f>IF([1]JEs!D185=0,"",[1]JEs!D185)</f>
        <v>Cash and cash equivalents</v>
      </c>
      <c r="F186" s="43" t="str">
        <f>IF([1]JEs!E185=0,"",[1]JEs!E185)</f>
        <v/>
      </c>
      <c r="G186" s="43">
        <f>IF([1]JEs!F185=0,"",[1]JEs!F185)</f>
        <v>18333.333333333332</v>
      </c>
      <c r="H186" s="43" t="str">
        <f>IF([1]JEs!G185=0,"",[1]JEs!G185)</f>
        <v/>
      </c>
      <c r="I186" s="43" t="str">
        <f>IF([1]JEs!H185=0,"",[1]JEs!H185)</f>
        <v>Monthly distribution received from laundromat investment - February 2024</v>
      </c>
      <c r="J186" s="43"/>
      <c r="K186" s="10" t="str">
        <f t="shared" si="12"/>
        <v>Cash and cash equivalents</v>
      </c>
      <c r="L186" s="96">
        <f t="shared" si="13"/>
        <v>18333.333333333332</v>
      </c>
      <c r="M186" s="10" t="str">
        <f>VLOOKUP(K186,'Chart of Accounts'!$C:$D,2,0)</f>
        <v>Cash and equivalents</v>
      </c>
    </row>
    <row r="187" spans="2:13" outlineLevel="1" x14ac:dyDescent="0.25">
      <c r="B187" s="40">
        <f>+[1]JEs!B186</f>
        <v>45351</v>
      </c>
      <c r="C187" s="40">
        <f t="shared" si="14"/>
        <v>45351</v>
      </c>
      <c r="D187" s="40">
        <f t="shared" si="15"/>
        <v>45382</v>
      </c>
      <c r="E187" s="43" t="str">
        <f>IF([1]JEs!D186=0,"",[1]JEs!D186)</f>
        <v/>
      </c>
      <c r="F187" s="43" t="str">
        <f>IF([1]JEs!E186=0,"",[1]JEs!E186)</f>
        <v>Dividend Income</v>
      </c>
      <c r="G187" s="43" t="str">
        <f>IF([1]JEs!F186=0,"",[1]JEs!F186)</f>
        <v/>
      </c>
      <c r="H187" s="43">
        <f>IF([1]JEs!G186=0,"",[1]JEs!G186)</f>
        <v>18333.333333333332</v>
      </c>
      <c r="I187" s="43" t="str">
        <f>IF([1]JEs!H186=0,"",[1]JEs!H186)</f>
        <v>Monthly distribution recognized from laundromat investment - February 2024</v>
      </c>
      <c r="J187" s="43"/>
      <c r="K187" s="10" t="str">
        <f t="shared" si="12"/>
        <v>Dividend Income</v>
      </c>
      <c r="L187" s="96">
        <f t="shared" si="13"/>
        <v>-18333.333333333332</v>
      </c>
      <c r="M187" s="10" t="str">
        <f>VLOOKUP(K187,'Chart of Accounts'!$C:$D,2,0)</f>
        <v>Dividend Income</v>
      </c>
    </row>
    <row r="188" spans="2:13" outlineLevel="1" x14ac:dyDescent="0.25">
      <c r="B188" s="40">
        <f>+[1]JEs!B187</f>
        <v>45382</v>
      </c>
      <c r="C188" s="40">
        <f t="shared" si="14"/>
        <v>45382</v>
      </c>
      <c r="D188" s="40">
        <f t="shared" si="15"/>
        <v>45382</v>
      </c>
      <c r="E188" s="43" t="str">
        <f>IF([1]JEs!D187=0,"",[1]JEs!D187)</f>
        <v>Cash and cash equivalents</v>
      </c>
      <c r="F188" s="43" t="str">
        <f>IF([1]JEs!E187=0,"",[1]JEs!E187)</f>
        <v/>
      </c>
      <c r="G188" s="43">
        <f>IF([1]JEs!F187=0,"",[1]JEs!F187)</f>
        <v>18333.333333333332</v>
      </c>
      <c r="H188" s="43" t="str">
        <f>IF([1]JEs!G187=0,"",[1]JEs!G187)</f>
        <v/>
      </c>
      <c r="I188" s="43" t="str">
        <f>IF([1]JEs!H187=0,"",[1]JEs!H187)</f>
        <v>Monthly distribution received from laundromat investment - March 2024</v>
      </c>
      <c r="J188" s="43"/>
      <c r="K188" s="10" t="str">
        <f t="shared" si="12"/>
        <v>Cash and cash equivalents</v>
      </c>
      <c r="L188" s="96">
        <f t="shared" si="13"/>
        <v>18333.333333333332</v>
      </c>
      <c r="M188" s="188" t="str">
        <f>VLOOKUP(K188,'Chart of Accounts'!$C:$D,2,0)</f>
        <v>Cash and equivalents</v>
      </c>
    </row>
    <row r="189" spans="2:13" outlineLevel="1" x14ac:dyDescent="0.25">
      <c r="B189" s="40">
        <f>+[1]JEs!B188</f>
        <v>45382</v>
      </c>
      <c r="C189" s="40">
        <f t="shared" si="14"/>
        <v>45382</v>
      </c>
      <c r="D189" s="40">
        <f t="shared" si="15"/>
        <v>45382</v>
      </c>
      <c r="E189" s="43" t="str">
        <f>IF([1]JEs!D188=0,"",[1]JEs!D188)</f>
        <v/>
      </c>
      <c r="F189" s="43" t="str">
        <f>IF([1]JEs!E188=0,"",[1]JEs!E188)</f>
        <v>Dividend Income</v>
      </c>
      <c r="G189" s="43" t="str">
        <f>IF([1]JEs!F188=0,"",[1]JEs!F188)</f>
        <v/>
      </c>
      <c r="H189" s="43">
        <f>IF([1]JEs!G188=0,"",[1]JEs!G188)</f>
        <v>18333.333333333332</v>
      </c>
      <c r="I189" s="43" t="str">
        <f>IF([1]JEs!H188=0,"",[1]JEs!H188)</f>
        <v>Monthly distribution recognized from laundromat investment - March 2024</v>
      </c>
      <c r="J189" s="43"/>
      <c r="K189" s="10" t="str">
        <f t="shared" si="12"/>
        <v>Dividend Income</v>
      </c>
      <c r="L189" s="96">
        <f t="shared" si="13"/>
        <v>-18333.333333333332</v>
      </c>
      <c r="M189" s="10" t="str">
        <f>VLOOKUP(K189,'Chart of Accounts'!$C:$D,2,0)</f>
        <v>Dividend Income</v>
      </c>
    </row>
    <row r="190" spans="2:13" outlineLevel="1" x14ac:dyDescent="0.25">
      <c r="B190" s="40">
        <f>+[1]JEs!B189</f>
        <v>45412</v>
      </c>
      <c r="C190" s="40">
        <f t="shared" si="14"/>
        <v>45412</v>
      </c>
      <c r="D190" s="40">
        <f t="shared" si="15"/>
        <v>45473</v>
      </c>
      <c r="E190" s="43" t="str">
        <f>IF([1]JEs!D189=0,"",[1]JEs!D189)</f>
        <v>Cash and cash equivalents</v>
      </c>
      <c r="F190" s="43" t="str">
        <f>IF([1]JEs!E189=0,"",[1]JEs!E189)</f>
        <v/>
      </c>
      <c r="G190" s="43">
        <f>IF([1]JEs!F189=0,"",[1]JEs!F189)</f>
        <v>18333.333333333332</v>
      </c>
      <c r="H190" s="43" t="str">
        <f>IF([1]JEs!G189=0,"",[1]JEs!G189)</f>
        <v/>
      </c>
      <c r="I190" s="43" t="str">
        <f>IF([1]JEs!H189=0,"",[1]JEs!H189)</f>
        <v>Monthly distribution received from laundromat investment - April 2024</v>
      </c>
      <c r="J190" s="43"/>
      <c r="K190" s="10" t="str">
        <f t="shared" si="12"/>
        <v>Cash and cash equivalents</v>
      </c>
      <c r="L190" s="96">
        <f t="shared" si="13"/>
        <v>18333.333333333332</v>
      </c>
      <c r="M190" s="188" t="str">
        <f>VLOOKUP(K190,'Chart of Accounts'!$C:$D,2,0)</f>
        <v>Cash and equivalents</v>
      </c>
    </row>
    <row r="191" spans="2:13" outlineLevel="1" x14ac:dyDescent="0.25">
      <c r="B191" s="40">
        <f>+[1]JEs!B190</f>
        <v>45412</v>
      </c>
      <c r="C191" s="40">
        <f t="shared" si="14"/>
        <v>45412</v>
      </c>
      <c r="D191" s="40">
        <f t="shared" si="15"/>
        <v>45473</v>
      </c>
      <c r="E191" s="43" t="str">
        <f>IF([1]JEs!D190=0,"",[1]JEs!D190)</f>
        <v/>
      </c>
      <c r="F191" s="43" t="str">
        <f>IF([1]JEs!E190=0,"",[1]JEs!E190)</f>
        <v>Dividend Income</v>
      </c>
      <c r="G191" s="43" t="str">
        <f>IF([1]JEs!F190=0,"",[1]JEs!F190)</f>
        <v/>
      </c>
      <c r="H191" s="43">
        <f>IF([1]JEs!G190=0,"",[1]JEs!G190)</f>
        <v>18333.333333333332</v>
      </c>
      <c r="I191" s="43" t="str">
        <f>IF([1]JEs!H190=0,"",[1]JEs!H190)</f>
        <v>Monthly distribution recognized from laundromat investment - April 2024</v>
      </c>
      <c r="J191" s="43"/>
      <c r="K191" s="10" t="str">
        <f t="shared" si="12"/>
        <v>Dividend Income</v>
      </c>
      <c r="L191" s="96">
        <f t="shared" si="13"/>
        <v>-18333.333333333332</v>
      </c>
      <c r="M191" s="10" t="str">
        <f>VLOOKUP(K191,'Chart of Accounts'!$C:$D,2,0)</f>
        <v>Dividend Income</v>
      </c>
    </row>
    <row r="192" spans="2:13" outlineLevel="1" x14ac:dyDescent="0.25">
      <c r="B192" s="40">
        <f>+[1]JEs!B191</f>
        <v>45443</v>
      </c>
      <c r="C192" s="40">
        <f t="shared" si="14"/>
        <v>45443</v>
      </c>
      <c r="D192" s="40">
        <f t="shared" si="15"/>
        <v>45473</v>
      </c>
      <c r="E192" s="43" t="str">
        <f>IF([1]JEs!D191=0,"",[1]JEs!D191)</f>
        <v>Cash and cash equivalents</v>
      </c>
      <c r="F192" s="43" t="str">
        <f>IF([1]JEs!E191=0,"",[1]JEs!E191)</f>
        <v/>
      </c>
      <c r="G192" s="43">
        <f>IF([1]JEs!F191=0,"",[1]JEs!F191)</f>
        <v>18333.333333333332</v>
      </c>
      <c r="H192" s="43" t="str">
        <f>IF([1]JEs!G191=0,"",[1]JEs!G191)</f>
        <v/>
      </c>
      <c r="I192" s="43" t="str">
        <f>IF([1]JEs!H191=0,"",[1]JEs!H191)</f>
        <v>Monthly distribution received from laundromat investment - May 2024</v>
      </c>
      <c r="J192" s="43"/>
      <c r="K192" s="10" t="str">
        <f t="shared" si="12"/>
        <v>Cash and cash equivalents</v>
      </c>
      <c r="L192" s="96">
        <f t="shared" si="13"/>
        <v>18333.333333333332</v>
      </c>
      <c r="M192" s="188" t="str">
        <f>VLOOKUP(K192,'Chart of Accounts'!$C:$D,2,0)</f>
        <v>Cash and equivalents</v>
      </c>
    </row>
    <row r="193" spans="2:13" outlineLevel="1" x14ac:dyDescent="0.25">
      <c r="B193" s="40">
        <f>+[1]JEs!B192</f>
        <v>45443</v>
      </c>
      <c r="C193" s="40">
        <f t="shared" si="14"/>
        <v>45443</v>
      </c>
      <c r="D193" s="40">
        <f t="shared" si="15"/>
        <v>45473</v>
      </c>
      <c r="E193" s="43" t="str">
        <f>IF([1]JEs!D192=0,"",[1]JEs!D192)</f>
        <v/>
      </c>
      <c r="F193" s="43" t="str">
        <f>IF([1]JEs!E192=0,"",[1]JEs!E192)</f>
        <v>Dividend Income</v>
      </c>
      <c r="G193" s="43" t="str">
        <f>IF([1]JEs!F192=0,"",[1]JEs!F192)</f>
        <v/>
      </c>
      <c r="H193" s="43">
        <f>IF([1]JEs!G192=0,"",[1]JEs!G192)</f>
        <v>18333.333333333332</v>
      </c>
      <c r="I193" s="43" t="str">
        <f>IF([1]JEs!H192=0,"",[1]JEs!H192)</f>
        <v>Monthly distribution recognized from laundromat investment - May 2024</v>
      </c>
      <c r="J193" s="43"/>
      <c r="K193" s="10" t="str">
        <f t="shared" si="12"/>
        <v>Dividend Income</v>
      </c>
      <c r="L193" s="96">
        <f t="shared" si="13"/>
        <v>-18333.333333333332</v>
      </c>
      <c r="M193" s="10" t="str">
        <f>VLOOKUP(K193,'Chart of Accounts'!$C:$D,2,0)</f>
        <v>Dividend Income</v>
      </c>
    </row>
    <row r="194" spans="2:13" outlineLevel="1" x14ac:dyDescent="0.25">
      <c r="B194" s="40">
        <f>+[1]JEs!B193</f>
        <v>45473</v>
      </c>
      <c r="C194" s="40">
        <f t="shared" si="14"/>
        <v>45473</v>
      </c>
      <c r="D194" s="40">
        <f t="shared" si="15"/>
        <v>45473</v>
      </c>
      <c r="E194" s="43" t="str">
        <f>IF([1]JEs!D193=0,"",[1]JEs!D193)</f>
        <v>Cash and cash equivalents</v>
      </c>
      <c r="F194" s="43" t="str">
        <f>IF([1]JEs!E193=0,"",[1]JEs!E193)</f>
        <v/>
      </c>
      <c r="G194" s="43">
        <f>IF([1]JEs!F193=0,"",[1]JEs!F193)</f>
        <v>18333.333333333332</v>
      </c>
      <c r="H194" s="43" t="str">
        <f>IF([1]JEs!G193=0,"",[1]JEs!G193)</f>
        <v/>
      </c>
      <c r="I194" s="43" t="str">
        <f>IF([1]JEs!H193=0,"",[1]JEs!H193)</f>
        <v>Monthly distribution received from laundromat investment - June 2024</v>
      </c>
      <c r="J194" s="43"/>
      <c r="K194" s="10" t="str">
        <f t="shared" si="12"/>
        <v>Cash and cash equivalents</v>
      </c>
      <c r="L194" s="96">
        <f t="shared" si="13"/>
        <v>18333.333333333332</v>
      </c>
      <c r="M194" s="188" t="str">
        <f>VLOOKUP(K194,'Chart of Accounts'!$C:$D,2,0)</f>
        <v>Cash and equivalents</v>
      </c>
    </row>
    <row r="195" spans="2:13" outlineLevel="1" x14ac:dyDescent="0.25">
      <c r="B195" s="40">
        <f>+[1]JEs!B194</f>
        <v>45473</v>
      </c>
      <c r="C195" s="40">
        <f t="shared" si="14"/>
        <v>45473</v>
      </c>
      <c r="D195" s="40">
        <f t="shared" si="15"/>
        <v>45473</v>
      </c>
      <c r="E195" s="43" t="str">
        <f>IF([1]JEs!D194=0,"",[1]JEs!D194)</f>
        <v/>
      </c>
      <c r="F195" s="43" t="str">
        <f>IF([1]JEs!E194=0,"",[1]JEs!E194)</f>
        <v>Dividend Income</v>
      </c>
      <c r="G195" s="43" t="str">
        <f>IF([1]JEs!F194=0,"",[1]JEs!F194)</f>
        <v/>
      </c>
      <c r="H195" s="43">
        <f>IF([1]JEs!G194=0,"",[1]JEs!G194)</f>
        <v>18333.333333333332</v>
      </c>
      <c r="I195" s="43" t="str">
        <f>IF([1]JEs!H194=0,"",[1]JEs!H194)</f>
        <v>Monthly distribution recognized from laundromat investment - June 2024</v>
      </c>
      <c r="J195" s="43"/>
      <c r="K195" s="10" t="str">
        <f t="shared" si="12"/>
        <v>Dividend Income</v>
      </c>
      <c r="L195" s="96">
        <f t="shared" si="13"/>
        <v>-18333.333333333332</v>
      </c>
      <c r="M195" s="10" t="str">
        <f>VLOOKUP(K195,'Chart of Accounts'!$C:$D,2,0)</f>
        <v>Dividend Income</v>
      </c>
    </row>
    <row r="196" spans="2:13" outlineLevel="1" x14ac:dyDescent="0.25">
      <c r="B196" s="40">
        <f>+[1]JEs!B195</f>
        <v>45504</v>
      </c>
      <c r="C196" s="40">
        <f t="shared" si="14"/>
        <v>45504</v>
      </c>
      <c r="D196" s="40">
        <f t="shared" si="15"/>
        <v>45565</v>
      </c>
      <c r="E196" s="43" t="str">
        <f>IF([1]JEs!D195=0,"",[1]JEs!D195)</f>
        <v>Cash and cash equivalents</v>
      </c>
      <c r="F196" s="43" t="str">
        <f>IF([1]JEs!E195=0,"",[1]JEs!E195)</f>
        <v/>
      </c>
      <c r="G196" s="43">
        <f>IF([1]JEs!F195=0,"",[1]JEs!F195)</f>
        <v>18333.333333333332</v>
      </c>
      <c r="H196" s="43" t="str">
        <f>IF([1]JEs!G195=0,"",[1]JEs!G195)</f>
        <v/>
      </c>
      <c r="I196" s="43" t="str">
        <f>IF([1]JEs!H195=0,"",[1]JEs!H195)</f>
        <v>Monthly distribution received from laundromat investment - July 2024</v>
      </c>
      <c r="J196" s="43"/>
      <c r="K196" s="10" t="str">
        <f t="shared" si="12"/>
        <v>Cash and cash equivalents</v>
      </c>
      <c r="L196" s="96">
        <f t="shared" si="13"/>
        <v>18333.333333333332</v>
      </c>
      <c r="M196" s="188" t="str">
        <f>VLOOKUP(K196,'Chart of Accounts'!$C:$D,2,0)</f>
        <v>Cash and equivalents</v>
      </c>
    </row>
    <row r="197" spans="2:13" outlineLevel="1" x14ac:dyDescent="0.25">
      <c r="B197" s="40">
        <f>+[1]JEs!B196</f>
        <v>45504</v>
      </c>
      <c r="C197" s="40">
        <f t="shared" si="14"/>
        <v>45504</v>
      </c>
      <c r="D197" s="40">
        <f t="shared" si="15"/>
        <v>45565</v>
      </c>
      <c r="E197" s="43" t="str">
        <f>IF([1]JEs!D196=0,"",[1]JEs!D196)</f>
        <v/>
      </c>
      <c r="F197" s="43" t="str">
        <f>IF([1]JEs!E196=0,"",[1]JEs!E196)</f>
        <v>Dividend Income</v>
      </c>
      <c r="G197" s="43" t="str">
        <f>IF([1]JEs!F196=0,"",[1]JEs!F196)</f>
        <v/>
      </c>
      <c r="H197" s="43">
        <f>IF([1]JEs!G196=0,"",[1]JEs!G196)</f>
        <v>18333.333333333332</v>
      </c>
      <c r="I197" s="43" t="str">
        <f>IF([1]JEs!H196=0,"",[1]JEs!H196)</f>
        <v>Monthly distribution recognized from laundromat investment - July 2024</v>
      </c>
      <c r="J197" s="43"/>
      <c r="K197" s="10" t="str">
        <f t="shared" si="12"/>
        <v>Dividend Income</v>
      </c>
      <c r="L197" s="96">
        <f t="shared" si="13"/>
        <v>-18333.333333333332</v>
      </c>
      <c r="M197" s="10" t="str">
        <f>VLOOKUP(K197,'Chart of Accounts'!$C:$D,2,0)</f>
        <v>Dividend Income</v>
      </c>
    </row>
    <row r="198" spans="2:13" outlineLevel="1" x14ac:dyDescent="0.25">
      <c r="B198" s="40">
        <f>+[1]JEs!B197</f>
        <v>45535</v>
      </c>
      <c r="C198" s="40">
        <f t="shared" si="14"/>
        <v>45535</v>
      </c>
      <c r="D198" s="40">
        <f t="shared" si="15"/>
        <v>45565</v>
      </c>
      <c r="E198" s="43" t="str">
        <f>IF([1]JEs!D197=0,"",[1]JEs!D197)</f>
        <v>Cash and cash equivalents</v>
      </c>
      <c r="F198" s="43" t="str">
        <f>IF([1]JEs!E197=0,"",[1]JEs!E197)</f>
        <v/>
      </c>
      <c r="G198" s="43">
        <f>IF([1]JEs!F197=0,"",[1]JEs!F197)</f>
        <v>18333.333333333332</v>
      </c>
      <c r="H198" s="43" t="str">
        <f>IF([1]JEs!G197=0,"",[1]JEs!G197)</f>
        <v/>
      </c>
      <c r="I198" s="43" t="str">
        <f>IF([1]JEs!H197=0,"",[1]JEs!H197)</f>
        <v>Monthly distribution received from laundromat investment - August 2024</v>
      </c>
      <c r="J198" s="43"/>
      <c r="K198" s="10" t="str">
        <f t="shared" ref="K198:K261" si="16">TRIM(E198&amp;F198)</f>
        <v>Cash and cash equivalents</v>
      </c>
      <c r="L198" s="96">
        <f t="shared" ref="L198:L261" si="17">IF(G198="",-H198,G198)</f>
        <v>18333.333333333332</v>
      </c>
      <c r="M198" s="188" t="str">
        <f>VLOOKUP(K198,'Chart of Accounts'!$C:$D,2,0)</f>
        <v>Cash and equivalents</v>
      </c>
    </row>
    <row r="199" spans="2:13" outlineLevel="1" x14ac:dyDescent="0.25">
      <c r="B199" s="40">
        <f>+[1]JEs!B198</f>
        <v>45535</v>
      </c>
      <c r="C199" s="40">
        <f t="shared" si="14"/>
        <v>45535</v>
      </c>
      <c r="D199" s="40">
        <f t="shared" si="15"/>
        <v>45565</v>
      </c>
      <c r="E199" s="43" t="str">
        <f>IF([1]JEs!D198=0,"",[1]JEs!D198)</f>
        <v/>
      </c>
      <c r="F199" s="43" t="str">
        <f>IF([1]JEs!E198=0,"",[1]JEs!E198)</f>
        <v>Dividend Income</v>
      </c>
      <c r="G199" s="43" t="str">
        <f>IF([1]JEs!F198=0,"",[1]JEs!F198)</f>
        <v/>
      </c>
      <c r="H199" s="43">
        <f>IF([1]JEs!G198=0,"",[1]JEs!G198)</f>
        <v>18333.333333333332</v>
      </c>
      <c r="I199" s="43" t="str">
        <f>IF([1]JEs!H198=0,"",[1]JEs!H198)</f>
        <v>Monthly distribution recognized from laundromat investment - August 2024</v>
      </c>
      <c r="J199" s="43"/>
      <c r="K199" s="10" t="str">
        <f t="shared" si="16"/>
        <v>Dividend Income</v>
      </c>
      <c r="L199" s="96">
        <f t="shared" si="17"/>
        <v>-18333.333333333332</v>
      </c>
      <c r="M199" s="10" t="str">
        <f>VLOOKUP(K199,'Chart of Accounts'!$C:$D,2,0)</f>
        <v>Dividend Income</v>
      </c>
    </row>
    <row r="200" spans="2:13" outlineLevel="1" x14ac:dyDescent="0.25">
      <c r="B200" s="40">
        <f>+[1]JEs!B199</f>
        <v>45565</v>
      </c>
      <c r="C200" s="40">
        <f t="shared" si="14"/>
        <v>45565</v>
      </c>
      <c r="D200" s="40">
        <f t="shared" si="15"/>
        <v>45565</v>
      </c>
      <c r="E200" s="43" t="str">
        <f>IF([1]JEs!D199=0,"",[1]JEs!D199)</f>
        <v>Cash and cash equivalents</v>
      </c>
      <c r="F200" s="43" t="str">
        <f>IF([1]JEs!E199=0,"",[1]JEs!E199)</f>
        <v/>
      </c>
      <c r="G200" s="43">
        <f>IF([1]JEs!F199=0,"",[1]JEs!F199)</f>
        <v>18333.333333333332</v>
      </c>
      <c r="H200" s="43" t="str">
        <f>IF([1]JEs!G199=0,"",[1]JEs!G199)</f>
        <v/>
      </c>
      <c r="I200" s="43" t="str">
        <f>IF([1]JEs!H199=0,"",[1]JEs!H199)</f>
        <v>Monthly distribution received from laundromat investment - September 2024</v>
      </c>
      <c r="J200" s="43"/>
      <c r="K200" s="10" t="str">
        <f t="shared" si="16"/>
        <v>Cash and cash equivalents</v>
      </c>
      <c r="L200" s="96">
        <f t="shared" si="17"/>
        <v>18333.333333333332</v>
      </c>
      <c r="M200" s="188" t="str">
        <f>VLOOKUP(K200,'Chart of Accounts'!$C:$D,2,0)</f>
        <v>Cash and equivalents</v>
      </c>
    </row>
    <row r="201" spans="2:13" outlineLevel="1" x14ac:dyDescent="0.25">
      <c r="B201" s="40">
        <f>+[1]JEs!B200</f>
        <v>45565</v>
      </c>
      <c r="C201" s="40">
        <f t="shared" si="14"/>
        <v>45565</v>
      </c>
      <c r="D201" s="40">
        <f t="shared" si="15"/>
        <v>45565</v>
      </c>
      <c r="E201" s="43" t="str">
        <f>IF([1]JEs!D200=0,"",[1]JEs!D200)</f>
        <v/>
      </c>
      <c r="F201" s="43" t="str">
        <f>IF([1]JEs!E200=0,"",[1]JEs!E200)</f>
        <v>Dividend Income</v>
      </c>
      <c r="G201" s="43" t="str">
        <f>IF([1]JEs!F200=0,"",[1]JEs!F200)</f>
        <v/>
      </c>
      <c r="H201" s="43">
        <f>IF([1]JEs!G200=0,"",[1]JEs!G200)</f>
        <v>18333.333333333332</v>
      </c>
      <c r="I201" s="43" t="str">
        <f>IF([1]JEs!H200=0,"",[1]JEs!H200)</f>
        <v>Monthly distribution recognized from laundromat investment - September 2024</v>
      </c>
      <c r="J201" s="43"/>
      <c r="K201" s="10" t="str">
        <f t="shared" si="16"/>
        <v>Dividend Income</v>
      </c>
      <c r="L201" s="96">
        <f t="shared" si="17"/>
        <v>-18333.333333333332</v>
      </c>
      <c r="M201" s="10" t="str">
        <f>VLOOKUP(K201,'Chart of Accounts'!$C:$D,2,0)</f>
        <v>Dividend Income</v>
      </c>
    </row>
    <row r="202" spans="2:13" outlineLevel="1" x14ac:dyDescent="0.25">
      <c r="B202" s="40">
        <f>+[1]JEs!B201</f>
        <v>45596</v>
      </c>
      <c r="C202" s="40">
        <f t="shared" si="14"/>
        <v>45596</v>
      </c>
      <c r="D202" s="40">
        <f t="shared" si="15"/>
        <v>45657</v>
      </c>
      <c r="E202" s="43" t="str">
        <f>IF([1]JEs!D201=0,"",[1]JEs!D201)</f>
        <v>Cash and cash equivalents</v>
      </c>
      <c r="F202" s="43" t="str">
        <f>IF([1]JEs!E201=0,"",[1]JEs!E201)</f>
        <v/>
      </c>
      <c r="G202" s="43">
        <f>IF([1]JEs!F201=0,"",[1]JEs!F201)</f>
        <v>18333.333333333332</v>
      </c>
      <c r="H202" s="43" t="str">
        <f>IF([1]JEs!G201=0,"",[1]JEs!G201)</f>
        <v/>
      </c>
      <c r="I202" s="43" t="str">
        <f>IF([1]JEs!H201=0,"",[1]JEs!H201)</f>
        <v>Monthly distribution received from laundromat investment - October 2024</v>
      </c>
      <c r="J202" s="43"/>
      <c r="K202" s="10" t="str">
        <f t="shared" si="16"/>
        <v>Cash and cash equivalents</v>
      </c>
      <c r="L202" s="96">
        <f t="shared" si="17"/>
        <v>18333.333333333332</v>
      </c>
      <c r="M202" s="188" t="str">
        <f>VLOOKUP(K202,'Chart of Accounts'!$C:$D,2,0)</f>
        <v>Cash and equivalents</v>
      </c>
    </row>
    <row r="203" spans="2:13" outlineLevel="1" x14ac:dyDescent="0.25">
      <c r="B203" s="40">
        <f>+[1]JEs!B202</f>
        <v>45596</v>
      </c>
      <c r="C203" s="40">
        <f t="shared" si="14"/>
        <v>45596</v>
      </c>
      <c r="D203" s="40">
        <f t="shared" si="15"/>
        <v>45657</v>
      </c>
      <c r="E203" s="43" t="str">
        <f>IF([1]JEs!D202=0,"",[1]JEs!D202)</f>
        <v/>
      </c>
      <c r="F203" s="43" t="str">
        <f>IF([1]JEs!E202=0,"",[1]JEs!E202)</f>
        <v>Dividend Income</v>
      </c>
      <c r="G203" s="43" t="str">
        <f>IF([1]JEs!F202=0,"",[1]JEs!F202)</f>
        <v/>
      </c>
      <c r="H203" s="43">
        <f>IF([1]JEs!G202=0,"",[1]JEs!G202)</f>
        <v>18333.333333333332</v>
      </c>
      <c r="I203" s="43" t="str">
        <f>IF([1]JEs!H202=0,"",[1]JEs!H202)</f>
        <v>Monthly distribution recognized from laundromat investment - October 2024</v>
      </c>
      <c r="J203" s="43"/>
      <c r="K203" s="10" t="str">
        <f t="shared" si="16"/>
        <v>Dividend Income</v>
      </c>
      <c r="L203" s="96">
        <f t="shared" si="17"/>
        <v>-18333.333333333332</v>
      </c>
      <c r="M203" s="10" t="str">
        <f>VLOOKUP(K203,'Chart of Accounts'!$C:$D,2,0)</f>
        <v>Dividend Income</v>
      </c>
    </row>
    <row r="204" spans="2:13" outlineLevel="1" x14ac:dyDescent="0.25">
      <c r="B204" s="40">
        <f>+[1]JEs!B203</f>
        <v>45626</v>
      </c>
      <c r="C204" s="40">
        <f t="shared" si="14"/>
        <v>45626</v>
      </c>
      <c r="D204" s="40">
        <f t="shared" si="15"/>
        <v>45657</v>
      </c>
      <c r="E204" s="43" t="str">
        <f>IF([1]JEs!D203=0,"",[1]JEs!D203)</f>
        <v>Cash and cash equivalents</v>
      </c>
      <c r="F204" s="43" t="str">
        <f>IF([1]JEs!E203=0,"",[1]JEs!E203)</f>
        <v/>
      </c>
      <c r="G204" s="43">
        <f>IF([1]JEs!F203=0,"",[1]JEs!F203)</f>
        <v>18333.333333333332</v>
      </c>
      <c r="H204" s="43" t="str">
        <f>IF([1]JEs!G203=0,"",[1]JEs!G203)</f>
        <v/>
      </c>
      <c r="I204" s="43" t="str">
        <f>IF([1]JEs!H203=0,"",[1]JEs!H203)</f>
        <v>Monthly distribution received from laundromat investment - November 2024</v>
      </c>
      <c r="J204" s="43"/>
      <c r="K204" s="10" t="str">
        <f t="shared" si="16"/>
        <v>Cash and cash equivalents</v>
      </c>
      <c r="L204" s="96">
        <f t="shared" si="17"/>
        <v>18333.333333333332</v>
      </c>
      <c r="M204" s="188" t="str">
        <f>VLOOKUP(K204,'Chart of Accounts'!$C:$D,2,0)</f>
        <v>Cash and equivalents</v>
      </c>
    </row>
    <row r="205" spans="2:13" outlineLevel="1" x14ac:dyDescent="0.25">
      <c r="B205" s="40">
        <f>+[1]JEs!B204</f>
        <v>45626</v>
      </c>
      <c r="C205" s="40">
        <f t="shared" si="14"/>
        <v>45626</v>
      </c>
      <c r="D205" s="40">
        <f t="shared" si="15"/>
        <v>45657</v>
      </c>
      <c r="E205" s="43" t="str">
        <f>IF([1]JEs!D204=0,"",[1]JEs!D204)</f>
        <v/>
      </c>
      <c r="F205" s="43" t="str">
        <f>IF([1]JEs!E204=0,"",[1]JEs!E204)</f>
        <v>Dividend Income</v>
      </c>
      <c r="G205" s="43" t="str">
        <f>IF([1]JEs!F204=0,"",[1]JEs!F204)</f>
        <v/>
      </c>
      <c r="H205" s="43">
        <f>IF([1]JEs!G204=0,"",[1]JEs!G204)</f>
        <v>18333.333333333332</v>
      </c>
      <c r="I205" s="43" t="str">
        <f>IF([1]JEs!H204=0,"",[1]JEs!H204)</f>
        <v>Monthly distribution recognized from laundromat investment - November 2024</v>
      </c>
      <c r="J205" s="43"/>
      <c r="K205" s="10" t="str">
        <f t="shared" si="16"/>
        <v>Dividend Income</v>
      </c>
      <c r="L205" s="96">
        <f t="shared" si="17"/>
        <v>-18333.333333333332</v>
      </c>
      <c r="M205" s="10" t="str">
        <f>VLOOKUP(K205,'Chart of Accounts'!$C:$D,2,0)</f>
        <v>Dividend Income</v>
      </c>
    </row>
    <row r="206" spans="2:13" outlineLevel="1" x14ac:dyDescent="0.25">
      <c r="B206" s="40">
        <f>+[1]JEs!B205</f>
        <v>45657</v>
      </c>
      <c r="C206" s="40">
        <f t="shared" si="14"/>
        <v>45657</v>
      </c>
      <c r="D206" s="40">
        <f t="shared" si="15"/>
        <v>45657</v>
      </c>
      <c r="E206" s="43" t="str">
        <f>IF([1]JEs!D205=0,"",[1]JEs!D205)</f>
        <v>Cash and cash equivalents</v>
      </c>
      <c r="F206" s="43" t="str">
        <f>IF([1]JEs!E205=0,"",[1]JEs!E205)</f>
        <v/>
      </c>
      <c r="G206" s="43">
        <f>IF([1]JEs!F205=0,"",[1]JEs!F205)</f>
        <v>18333.333333333332</v>
      </c>
      <c r="H206" s="43" t="str">
        <f>IF([1]JEs!G205=0,"",[1]JEs!G205)</f>
        <v/>
      </c>
      <c r="I206" s="43" t="str">
        <f>IF([1]JEs!H205=0,"",[1]JEs!H205)</f>
        <v>Monthly distribution received from laundromat investment - December 2024</v>
      </c>
      <c r="J206" s="43"/>
      <c r="K206" s="10" t="str">
        <f t="shared" si="16"/>
        <v>Cash and cash equivalents</v>
      </c>
      <c r="L206" s="96">
        <f t="shared" si="17"/>
        <v>18333.333333333332</v>
      </c>
      <c r="M206" s="188" t="str">
        <f>VLOOKUP(K206,'Chart of Accounts'!$C:$D,2,0)</f>
        <v>Cash and equivalents</v>
      </c>
    </row>
    <row r="207" spans="2:13" outlineLevel="1" x14ac:dyDescent="0.25">
      <c r="B207" s="40">
        <f>+[1]JEs!B206</f>
        <v>45657</v>
      </c>
      <c r="C207" s="40">
        <f t="shared" si="14"/>
        <v>45657</v>
      </c>
      <c r="D207" s="40">
        <f t="shared" si="15"/>
        <v>45657</v>
      </c>
      <c r="E207" s="43" t="str">
        <f>IF([1]JEs!D206=0,"",[1]JEs!D206)</f>
        <v/>
      </c>
      <c r="F207" s="43" t="str">
        <f>IF([1]JEs!E206=0,"",[1]JEs!E206)</f>
        <v>Dividend Income</v>
      </c>
      <c r="G207" s="43" t="str">
        <f>IF([1]JEs!F206=0,"",[1]JEs!F206)</f>
        <v/>
      </c>
      <c r="H207" s="43">
        <f>IF([1]JEs!G206=0,"",[1]JEs!G206)</f>
        <v>18333.333333333332</v>
      </c>
      <c r="I207" s="43" t="str">
        <f>IF([1]JEs!H206=0,"",[1]JEs!H206)</f>
        <v>Monthly distribution recognized from laundromat investment - December 2024</v>
      </c>
      <c r="J207" s="43"/>
      <c r="K207" s="10" t="str">
        <f t="shared" si="16"/>
        <v>Dividend Income</v>
      </c>
      <c r="L207" s="96">
        <f t="shared" si="17"/>
        <v>-18333.333333333332</v>
      </c>
      <c r="M207" s="10" t="str">
        <f>VLOOKUP(K207,'Chart of Accounts'!$C:$D,2,0)</f>
        <v>Dividend Income</v>
      </c>
    </row>
    <row r="208" spans="2:13" outlineLevel="1" x14ac:dyDescent="0.25">
      <c r="B208" s="40">
        <f>+[1]JEs!B207</f>
        <v>45473</v>
      </c>
      <c r="C208" s="40">
        <f t="shared" si="14"/>
        <v>45473</v>
      </c>
      <c r="D208" s="40">
        <f t="shared" si="15"/>
        <v>45473</v>
      </c>
      <c r="E208" s="43" t="str">
        <f>IF([1]JEs!D207=0,"",[1]JEs!D207)</f>
        <v>Cash and cash equivalents</v>
      </c>
      <c r="F208" s="43" t="str">
        <f>IF([1]JEs!E207=0,"",[1]JEs!E207)</f>
        <v/>
      </c>
      <c r="G208" s="43">
        <f>IF([1]JEs!F207=0,"",[1]JEs!F207)</f>
        <v>8333.3333333333339</v>
      </c>
      <c r="H208" s="43" t="str">
        <f>IF([1]JEs!G207=0,"",[1]JEs!G207)</f>
        <v/>
      </c>
      <c r="I208" s="43" t="str">
        <f>IF([1]JEs!H207=0,"",[1]JEs!H207)</f>
        <v>Prorated quarterly dividend received</v>
      </c>
      <c r="J208" s="43"/>
      <c r="K208" s="10" t="str">
        <f t="shared" si="16"/>
        <v>Cash and cash equivalents</v>
      </c>
      <c r="L208" s="96">
        <f t="shared" si="17"/>
        <v>8333.3333333333339</v>
      </c>
      <c r="M208" s="188" t="str">
        <f>VLOOKUP(K208,'Chart of Accounts'!$C:$D,2,0)</f>
        <v>Cash and equivalents</v>
      </c>
    </row>
    <row r="209" spans="2:13" outlineLevel="1" x14ac:dyDescent="0.25">
      <c r="B209" s="40">
        <f>+[1]JEs!B208</f>
        <v>45473</v>
      </c>
      <c r="C209" s="40">
        <f t="shared" si="14"/>
        <v>45473</v>
      </c>
      <c r="D209" s="40">
        <f t="shared" si="15"/>
        <v>45473</v>
      </c>
      <c r="E209" s="43" t="str">
        <f>IF([1]JEs!D208=0,"",[1]JEs!D208)</f>
        <v/>
      </c>
      <c r="F209" s="43" t="str">
        <f>IF([1]JEs!E208=0,"",[1]JEs!E208)</f>
        <v>Dividend Income</v>
      </c>
      <c r="G209" s="43" t="str">
        <f>IF([1]JEs!F208=0,"",[1]JEs!F208)</f>
        <v/>
      </c>
      <c r="H209" s="43">
        <f>IF([1]JEs!G208=0,"",[1]JEs!G208)</f>
        <v>8333.3333333333339</v>
      </c>
      <c r="I209" s="43" t="str">
        <f>IF([1]JEs!H208=0,"",[1]JEs!H208)</f>
        <v>Prorated quarterly dividend income</v>
      </c>
      <c r="J209" s="43"/>
      <c r="K209" s="10" t="str">
        <f t="shared" si="16"/>
        <v>Dividend Income</v>
      </c>
      <c r="L209" s="96">
        <f t="shared" si="17"/>
        <v>-8333.3333333333339</v>
      </c>
      <c r="M209" s="10" t="str">
        <f>VLOOKUP(K209,'Chart of Accounts'!$C:$D,2,0)</f>
        <v>Dividend Income</v>
      </c>
    </row>
    <row r="210" spans="2:13" outlineLevel="1" x14ac:dyDescent="0.25">
      <c r="B210" s="40">
        <f>+[1]JEs!B209</f>
        <v>45565</v>
      </c>
      <c r="C210" s="40">
        <f t="shared" si="14"/>
        <v>45565</v>
      </c>
      <c r="D210" s="40">
        <f t="shared" si="15"/>
        <v>45565</v>
      </c>
      <c r="E210" s="43" t="str">
        <f>IF([1]JEs!D209=0,"",[1]JEs!D209)</f>
        <v>Cash and cash equivalents</v>
      </c>
      <c r="F210" s="43" t="str">
        <f>IF([1]JEs!E209=0,"",[1]JEs!E209)</f>
        <v/>
      </c>
      <c r="G210" s="43">
        <f>IF([1]JEs!F209=0,"",[1]JEs!F209)</f>
        <v>25000</v>
      </c>
      <c r="H210" s="43" t="str">
        <f>IF([1]JEs!G209=0,"",[1]JEs!G209)</f>
        <v/>
      </c>
      <c r="I210" s="43" t="str">
        <f>IF([1]JEs!H209=0,"",[1]JEs!H209)</f>
        <v>Quarterly dividend received</v>
      </c>
      <c r="J210" s="43"/>
      <c r="K210" s="10" t="str">
        <f t="shared" si="16"/>
        <v>Cash and cash equivalents</v>
      </c>
      <c r="L210" s="96">
        <f t="shared" si="17"/>
        <v>25000</v>
      </c>
      <c r="M210" s="188" t="str">
        <f>VLOOKUP(K210,'Chart of Accounts'!$C:$D,2,0)</f>
        <v>Cash and equivalents</v>
      </c>
    </row>
    <row r="211" spans="2:13" outlineLevel="1" x14ac:dyDescent="0.25">
      <c r="B211" s="40">
        <f>+[1]JEs!B210</f>
        <v>45565</v>
      </c>
      <c r="C211" s="40">
        <f t="shared" si="14"/>
        <v>45565</v>
      </c>
      <c r="D211" s="40">
        <f t="shared" si="15"/>
        <v>45565</v>
      </c>
      <c r="E211" s="43" t="str">
        <f>IF([1]JEs!D210=0,"",[1]JEs!D210)</f>
        <v/>
      </c>
      <c r="F211" s="43" t="str">
        <f>IF([1]JEs!E210=0,"",[1]JEs!E210)</f>
        <v>Dividend Income</v>
      </c>
      <c r="G211" s="43" t="str">
        <f>IF([1]JEs!F210=0,"",[1]JEs!F210)</f>
        <v/>
      </c>
      <c r="H211" s="43">
        <f>IF([1]JEs!G210=0,"",[1]JEs!G210)</f>
        <v>25000</v>
      </c>
      <c r="I211" s="43" t="str">
        <f>IF([1]JEs!H210=0,"",[1]JEs!H210)</f>
        <v>Quarterly dividend income</v>
      </c>
      <c r="J211" s="43"/>
      <c r="K211" s="10" t="str">
        <f t="shared" si="16"/>
        <v>Dividend Income</v>
      </c>
      <c r="L211" s="96">
        <f t="shared" si="17"/>
        <v>-25000</v>
      </c>
      <c r="M211" s="10" t="str">
        <f>VLOOKUP(K211,'Chart of Accounts'!$C:$D,2,0)</f>
        <v>Dividend Income</v>
      </c>
    </row>
    <row r="212" spans="2:13" outlineLevel="1" x14ac:dyDescent="0.25">
      <c r="B212" s="40">
        <f>+[1]JEs!B211</f>
        <v>45657</v>
      </c>
      <c r="C212" s="40">
        <f t="shared" si="14"/>
        <v>45657</v>
      </c>
      <c r="D212" s="40">
        <f t="shared" si="15"/>
        <v>45657</v>
      </c>
      <c r="E212" s="43" t="str">
        <f>IF([1]JEs!D211=0,"",[1]JEs!D211)</f>
        <v>Cash and cash equivalents</v>
      </c>
      <c r="F212" s="43" t="str">
        <f>IF([1]JEs!E211=0,"",[1]JEs!E211)</f>
        <v/>
      </c>
      <c r="G212" s="43">
        <f>IF([1]JEs!F211=0,"",[1]JEs!F211)</f>
        <v>25000</v>
      </c>
      <c r="H212" s="43" t="str">
        <f>IF([1]JEs!G211=0,"",[1]JEs!G211)</f>
        <v/>
      </c>
      <c r="I212" s="43" t="str">
        <f>IF([1]JEs!H211=0,"",[1]JEs!H211)</f>
        <v>Quarterly dividend received</v>
      </c>
      <c r="J212" s="43"/>
      <c r="K212" s="10" t="str">
        <f t="shared" si="16"/>
        <v>Cash and cash equivalents</v>
      </c>
      <c r="L212" s="96">
        <f t="shared" si="17"/>
        <v>25000</v>
      </c>
      <c r="M212" s="188" t="str">
        <f>VLOOKUP(K212,'Chart of Accounts'!$C:$D,2,0)</f>
        <v>Cash and equivalents</v>
      </c>
    </row>
    <row r="213" spans="2:13" outlineLevel="1" x14ac:dyDescent="0.25">
      <c r="B213" s="40">
        <f>+[1]JEs!B212</f>
        <v>45657</v>
      </c>
      <c r="C213" s="40">
        <f t="shared" si="14"/>
        <v>45657</v>
      </c>
      <c r="D213" s="40">
        <f t="shared" si="15"/>
        <v>45657</v>
      </c>
      <c r="E213" s="43" t="str">
        <f>IF([1]JEs!D212=0,"",[1]JEs!D212)</f>
        <v/>
      </c>
      <c r="F213" s="43" t="str">
        <f>IF([1]JEs!E212=0,"",[1]JEs!E212)</f>
        <v>Dividend Income</v>
      </c>
      <c r="G213" s="43" t="str">
        <f>IF([1]JEs!F212=0,"",[1]JEs!F212)</f>
        <v/>
      </c>
      <c r="H213" s="43">
        <f>IF([1]JEs!G212=0,"",[1]JEs!G212)</f>
        <v>25000</v>
      </c>
      <c r="I213" s="43" t="str">
        <f>IF([1]JEs!H212=0,"",[1]JEs!H212)</f>
        <v>Quarterly dividend income</v>
      </c>
      <c r="J213" s="43"/>
      <c r="K213" s="10" t="str">
        <f t="shared" si="16"/>
        <v>Dividend Income</v>
      </c>
      <c r="L213" s="96">
        <f t="shared" si="17"/>
        <v>-25000</v>
      </c>
      <c r="M213" s="10" t="str">
        <f>VLOOKUP(K213,'Chart of Accounts'!$C:$D,2,0)</f>
        <v>Dividend Income</v>
      </c>
    </row>
    <row r="214" spans="2:13" outlineLevel="1" x14ac:dyDescent="0.25">
      <c r="B214" s="40">
        <f>+[1]JEs!B213</f>
        <v>45473</v>
      </c>
      <c r="C214" s="40">
        <f t="shared" si="14"/>
        <v>45473</v>
      </c>
      <c r="D214" s="40">
        <f t="shared" si="15"/>
        <v>45473</v>
      </c>
      <c r="E214" s="43" t="str">
        <f>IF([1]JEs!D213=0,"",[1]JEs!D213)</f>
        <v>Cash and cash equivalents</v>
      </c>
      <c r="F214" s="43" t="str">
        <f>IF([1]JEs!E213=0,"",[1]JEs!E213)</f>
        <v/>
      </c>
      <c r="G214" s="43">
        <f>IF([1]JEs!F213=0,"",[1]JEs!F213)</f>
        <v>62672.730922861701</v>
      </c>
      <c r="H214" s="43" t="str">
        <f>IF([1]JEs!G213=0,"",[1]JEs!G213)</f>
        <v/>
      </c>
      <c r="I214" s="43" t="str">
        <f>IF([1]JEs!H213=0,"",[1]JEs!H213)</f>
        <v>E-commerce interest income received - June 2024</v>
      </c>
      <c r="J214" s="43"/>
      <c r="K214" s="10" t="str">
        <f t="shared" si="16"/>
        <v>Cash and cash equivalents</v>
      </c>
      <c r="L214" s="96">
        <f t="shared" si="17"/>
        <v>62672.730922861701</v>
      </c>
      <c r="M214" s="188" t="str">
        <f>VLOOKUP(K214,'Chart of Accounts'!$C:$D,2,0)</f>
        <v>Cash and equivalents</v>
      </c>
    </row>
    <row r="215" spans="2:13" outlineLevel="1" x14ac:dyDescent="0.25">
      <c r="B215" s="40">
        <f>+[1]JEs!B214</f>
        <v>45473</v>
      </c>
      <c r="C215" s="40">
        <f t="shared" si="14"/>
        <v>45473</v>
      </c>
      <c r="D215" s="40">
        <f t="shared" si="15"/>
        <v>45473</v>
      </c>
      <c r="E215" s="43" t="str">
        <f>IF([1]JEs!D214=0,"",[1]JEs!D214)</f>
        <v/>
      </c>
      <c r="F215" s="43" t="str">
        <f>IF([1]JEs!E214=0,"",[1]JEs!E214)</f>
        <v>Loan/Notes receivable</v>
      </c>
      <c r="G215" s="43" t="str">
        <f>IF([1]JEs!F214=0,"",[1]JEs!F214)</f>
        <v/>
      </c>
      <c r="H215" s="43">
        <f>IF([1]JEs!G214=0,"",[1]JEs!G214)</f>
        <v>49339.397589528366</v>
      </c>
      <c r="I215" s="43" t="str">
        <f>IF([1]JEs!H214=0,"",[1]JEs!H214)</f>
        <v>Loan/Notes receivable adjustment - June 2024</v>
      </c>
      <c r="J215" s="43"/>
      <c r="K215" s="10" t="str">
        <f t="shared" si="16"/>
        <v>Loan/Notes receivable</v>
      </c>
      <c r="L215" s="96">
        <f t="shared" si="17"/>
        <v>-49339.397589528366</v>
      </c>
      <c r="M215" s="10" t="str">
        <f>VLOOKUP(K215,'Chart of Accounts'!$C:$D,2,0)</f>
        <v>Loan/Notes receivable</v>
      </c>
    </row>
    <row r="216" spans="2:13" outlineLevel="1" x14ac:dyDescent="0.25">
      <c r="B216" s="40">
        <f>+[1]JEs!B215</f>
        <v>45473</v>
      </c>
      <c r="C216" s="40">
        <f t="shared" si="14"/>
        <v>45473</v>
      </c>
      <c r="D216" s="40">
        <f t="shared" si="15"/>
        <v>45473</v>
      </c>
      <c r="E216" s="43" t="str">
        <f>IF([1]JEs!D215=0,"",[1]JEs!D215)</f>
        <v/>
      </c>
      <c r="F216" s="43" t="str">
        <f>IF([1]JEs!E215=0,"",[1]JEs!E215)</f>
        <v>Interest Income</v>
      </c>
      <c r="G216" s="43" t="str">
        <f>IF([1]JEs!F215=0,"",[1]JEs!F215)</f>
        <v/>
      </c>
      <c r="H216" s="43">
        <f>IF([1]JEs!G215=0,"",[1]JEs!G215)</f>
        <v>13333.333333333334</v>
      </c>
      <c r="I216" s="43" t="str">
        <f>IF([1]JEs!H215=0,"",[1]JEs!H215)</f>
        <v>Interest income earned for the period - June 2024</v>
      </c>
      <c r="J216" s="43"/>
      <c r="K216" s="10" t="str">
        <f t="shared" si="16"/>
        <v>Interest Income</v>
      </c>
      <c r="L216" s="96">
        <f t="shared" si="17"/>
        <v>-13333.333333333334</v>
      </c>
      <c r="M216" s="188" t="str">
        <f>VLOOKUP(K216,'Chart of Accounts'!$C:$D,2,0)</f>
        <v>Interest Income</v>
      </c>
    </row>
    <row r="217" spans="2:13" outlineLevel="1" x14ac:dyDescent="0.25">
      <c r="B217" s="40">
        <f>+[1]JEs!B216</f>
        <v>45504</v>
      </c>
      <c r="C217" s="40">
        <f t="shared" si="14"/>
        <v>45504</v>
      </c>
      <c r="D217" s="40">
        <f t="shared" si="15"/>
        <v>45565</v>
      </c>
      <c r="E217" s="43" t="str">
        <f>IF([1]JEs!D216=0,"",[1]JEs!D216)</f>
        <v>Cash and cash equivalents</v>
      </c>
      <c r="F217" s="43" t="str">
        <f>IF([1]JEs!E216=0,"",[1]JEs!E216)</f>
        <v/>
      </c>
      <c r="G217" s="43">
        <f>IF([1]JEs!F216=0,"",[1]JEs!F216)</f>
        <v>62672.730922861701</v>
      </c>
      <c r="H217" s="43" t="str">
        <f>IF([1]JEs!G216=0,"",[1]JEs!G216)</f>
        <v/>
      </c>
      <c r="I217" s="43" t="str">
        <f>IF([1]JEs!H216=0,"",[1]JEs!H216)</f>
        <v>E-commerce interest income received - July 2024</v>
      </c>
      <c r="J217" s="43"/>
      <c r="K217" s="10" t="str">
        <f t="shared" si="16"/>
        <v>Cash and cash equivalents</v>
      </c>
      <c r="L217" s="96">
        <f t="shared" si="17"/>
        <v>62672.730922861701</v>
      </c>
      <c r="M217" s="10" t="str">
        <f>VLOOKUP(K217,'Chart of Accounts'!$C:$D,2,0)</f>
        <v>Cash and equivalents</v>
      </c>
    </row>
    <row r="218" spans="2:13" outlineLevel="1" x14ac:dyDescent="0.25">
      <c r="B218" s="40">
        <f>+[1]JEs!B217</f>
        <v>45504</v>
      </c>
      <c r="C218" s="40">
        <f t="shared" si="14"/>
        <v>45504</v>
      </c>
      <c r="D218" s="40">
        <f t="shared" si="15"/>
        <v>45565</v>
      </c>
      <c r="E218" s="43" t="str">
        <f>IF([1]JEs!D217=0,"",[1]JEs!D217)</f>
        <v/>
      </c>
      <c r="F218" s="43" t="str">
        <f>IF([1]JEs!E217=0,"",[1]JEs!E217)</f>
        <v>Loan/Notes receivable</v>
      </c>
      <c r="G218" s="43" t="str">
        <f>IF([1]JEs!F217=0,"",[1]JEs!F217)</f>
        <v/>
      </c>
      <c r="H218" s="43">
        <f>IF([1]JEs!G217=0,"",[1]JEs!G217)</f>
        <v>49668.326906791888</v>
      </c>
      <c r="I218" s="43" t="str">
        <f>IF([1]JEs!H217=0,"",[1]JEs!H217)</f>
        <v>Loan/Notes receivable adjustment - July 2024</v>
      </c>
      <c r="J218" s="43"/>
      <c r="K218" s="10" t="str">
        <f t="shared" si="16"/>
        <v>Loan/Notes receivable</v>
      </c>
      <c r="L218" s="96">
        <f t="shared" si="17"/>
        <v>-49668.326906791888</v>
      </c>
      <c r="M218" s="10" t="str">
        <f>VLOOKUP(K218,'Chart of Accounts'!$C:$D,2,0)</f>
        <v>Loan/Notes receivable</v>
      </c>
    </row>
    <row r="219" spans="2:13" outlineLevel="1" x14ac:dyDescent="0.25">
      <c r="B219" s="40">
        <f>+[1]JEs!B218</f>
        <v>45504</v>
      </c>
      <c r="C219" s="40">
        <f t="shared" si="14"/>
        <v>45504</v>
      </c>
      <c r="D219" s="40">
        <f t="shared" si="15"/>
        <v>45565</v>
      </c>
      <c r="E219" s="43" t="str">
        <f>IF([1]JEs!D218=0,"",[1]JEs!D218)</f>
        <v/>
      </c>
      <c r="F219" s="43" t="str">
        <f>IF([1]JEs!E218=0,"",[1]JEs!E218)</f>
        <v>Interest Income</v>
      </c>
      <c r="G219" s="43" t="str">
        <f>IF([1]JEs!F218=0,"",[1]JEs!F218)</f>
        <v/>
      </c>
      <c r="H219" s="43">
        <f>IF([1]JEs!G218=0,"",[1]JEs!G218)</f>
        <v>13004.404016069811</v>
      </c>
      <c r="I219" s="43" t="str">
        <f>IF([1]JEs!H218=0,"",[1]JEs!H218)</f>
        <v>Interest income earned for the period - July 2024</v>
      </c>
      <c r="J219" s="43"/>
      <c r="K219" s="10" t="str">
        <f t="shared" si="16"/>
        <v>Interest Income</v>
      </c>
      <c r="L219" s="96">
        <f t="shared" si="17"/>
        <v>-13004.404016069811</v>
      </c>
      <c r="M219" s="188" t="str">
        <f>VLOOKUP(K219,'Chart of Accounts'!$C:$D,2,0)</f>
        <v>Interest Income</v>
      </c>
    </row>
    <row r="220" spans="2:13" outlineLevel="1" x14ac:dyDescent="0.25">
      <c r="B220" s="40">
        <f>+[1]JEs!B219</f>
        <v>45535</v>
      </c>
      <c r="C220" s="40">
        <f t="shared" si="14"/>
        <v>45535</v>
      </c>
      <c r="D220" s="40">
        <f t="shared" si="15"/>
        <v>45565</v>
      </c>
      <c r="E220" s="43" t="str">
        <f>IF([1]JEs!D219=0,"",[1]JEs!D219)</f>
        <v>Cash and cash equivalents</v>
      </c>
      <c r="F220" s="43" t="str">
        <f>IF([1]JEs!E219=0,"",[1]JEs!E219)</f>
        <v/>
      </c>
      <c r="G220" s="43">
        <f>IF([1]JEs!F219=0,"",[1]JEs!F219)</f>
        <v>62672.730922861701</v>
      </c>
      <c r="H220" s="43" t="str">
        <f>IF([1]JEs!G219=0,"",[1]JEs!G219)</f>
        <v/>
      </c>
      <c r="I220" s="43" t="str">
        <f>IF([1]JEs!H219=0,"",[1]JEs!H219)</f>
        <v>E-commerce interest income received - August 2024</v>
      </c>
      <c r="J220" s="43"/>
      <c r="K220" s="10" t="str">
        <f t="shared" si="16"/>
        <v>Cash and cash equivalents</v>
      </c>
      <c r="L220" s="96">
        <f t="shared" si="17"/>
        <v>62672.730922861701</v>
      </c>
      <c r="M220" s="10" t="str">
        <f>VLOOKUP(K220,'Chart of Accounts'!$C:$D,2,0)</f>
        <v>Cash and equivalents</v>
      </c>
    </row>
    <row r="221" spans="2:13" outlineLevel="1" x14ac:dyDescent="0.25">
      <c r="B221" s="40">
        <f>+[1]JEs!B220</f>
        <v>45535</v>
      </c>
      <c r="C221" s="40">
        <f t="shared" ref="C221:C284" si="18">EOMONTH(B221,0)</f>
        <v>45535</v>
      </c>
      <c r="D221" s="40">
        <f t="shared" ref="D221:D284" si="19">EOMONTH(B221,CEILING(MONTH(B221),3)-MONTH(B221))</f>
        <v>45565</v>
      </c>
      <c r="E221" s="43" t="str">
        <f>IF([1]JEs!D220=0,"",[1]JEs!D220)</f>
        <v/>
      </c>
      <c r="F221" s="43" t="str">
        <f>IF([1]JEs!E220=0,"",[1]JEs!E220)</f>
        <v>Loan/Notes receivable</v>
      </c>
      <c r="G221" s="43" t="str">
        <f>IF([1]JEs!F220=0,"",[1]JEs!F220)</f>
        <v/>
      </c>
      <c r="H221" s="43">
        <f>IF([1]JEs!G220=0,"",[1]JEs!G220)</f>
        <v>49999.449086170505</v>
      </c>
      <c r="I221" s="43" t="str">
        <f>IF([1]JEs!H220=0,"",[1]JEs!H220)</f>
        <v>Loan/Notes receivable adjustment - August 2024</v>
      </c>
      <c r="J221" s="43"/>
      <c r="K221" s="10" t="str">
        <f t="shared" si="16"/>
        <v>Loan/Notes receivable</v>
      </c>
      <c r="L221" s="96">
        <f t="shared" si="17"/>
        <v>-49999.449086170505</v>
      </c>
      <c r="M221" s="10" t="str">
        <f>VLOOKUP(K221,'Chart of Accounts'!$C:$D,2,0)</f>
        <v>Loan/Notes receivable</v>
      </c>
    </row>
    <row r="222" spans="2:13" outlineLevel="1" x14ac:dyDescent="0.25">
      <c r="B222" s="40">
        <f>+[1]JEs!B221</f>
        <v>45535</v>
      </c>
      <c r="C222" s="40">
        <f t="shared" si="18"/>
        <v>45535</v>
      </c>
      <c r="D222" s="40">
        <f t="shared" si="19"/>
        <v>45565</v>
      </c>
      <c r="E222" s="43" t="str">
        <f>IF([1]JEs!D221=0,"",[1]JEs!D221)</f>
        <v/>
      </c>
      <c r="F222" s="43" t="str">
        <f>IF([1]JEs!E221=0,"",[1]JEs!E221)</f>
        <v>Interest Income</v>
      </c>
      <c r="G222" s="43" t="str">
        <f>IF([1]JEs!F221=0,"",[1]JEs!F221)</f>
        <v/>
      </c>
      <c r="H222" s="43">
        <f>IF([1]JEs!G221=0,"",[1]JEs!G221)</f>
        <v>12673.281836691198</v>
      </c>
      <c r="I222" s="43" t="str">
        <f>IF([1]JEs!H221=0,"",[1]JEs!H221)</f>
        <v>Interest income earned for the period - August 2024</v>
      </c>
      <c r="J222" s="43"/>
      <c r="K222" s="10" t="str">
        <f t="shared" si="16"/>
        <v>Interest Income</v>
      </c>
      <c r="L222" s="96">
        <f t="shared" si="17"/>
        <v>-12673.281836691198</v>
      </c>
      <c r="M222" s="188" t="str">
        <f>VLOOKUP(K222,'Chart of Accounts'!$C:$D,2,0)</f>
        <v>Interest Income</v>
      </c>
    </row>
    <row r="223" spans="2:13" outlineLevel="1" x14ac:dyDescent="0.25">
      <c r="B223" s="40">
        <f>+[1]JEs!B222</f>
        <v>45565</v>
      </c>
      <c r="C223" s="40">
        <f t="shared" si="18"/>
        <v>45565</v>
      </c>
      <c r="D223" s="40">
        <f t="shared" si="19"/>
        <v>45565</v>
      </c>
      <c r="E223" s="43" t="str">
        <f>IF([1]JEs!D222=0,"",[1]JEs!D222)</f>
        <v>Cash and cash equivalents</v>
      </c>
      <c r="F223" s="43" t="str">
        <f>IF([1]JEs!E222=0,"",[1]JEs!E222)</f>
        <v/>
      </c>
      <c r="G223" s="43">
        <f>IF([1]JEs!F222=0,"",[1]JEs!F222)</f>
        <v>62672.730922861701</v>
      </c>
      <c r="H223" s="43" t="str">
        <f>IF([1]JEs!G222=0,"",[1]JEs!G222)</f>
        <v/>
      </c>
      <c r="I223" s="43" t="str">
        <f>IF([1]JEs!H222=0,"",[1]JEs!H222)</f>
        <v>E-commerce interest income received - September 2024</v>
      </c>
      <c r="J223" s="43"/>
      <c r="K223" s="10" t="str">
        <f t="shared" si="16"/>
        <v>Cash and cash equivalents</v>
      </c>
      <c r="L223" s="96">
        <f t="shared" si="17"/>
        <v>62672.730922861701</v>
      </c>
      <c r="M223" s="10" t="str">
        <f>VLOOKUP(K223,'Chart of Accounts'!$C:$D,2,0)</f>
        <v>Cash and equivalents</v>
      </c>
    </row>
    <row r="224" spans="2:13" outlineLevel="1" x14ac:dyDescent="0.25">
      <c r="B224" s="40">
        <f>+[1]JEs!B223</f>
        <v>45565</v>
      </c>
      <c r="C224" s="40">
        <f t="shared" si="18"/>
        <v>45565</v>
      </c>
      <c r="D224" s="40">
        <f t="shared" si="19"/>
        <v>45565</v>
      </c>
      <c r="E224" s="43" t="str">
        <f>IF([1]JEs!D223=0,"",[1]JEs!D223)</f>
        <v/>
      </c>
      <c r="F224" s="43" t="str">
        <f>IF([1]JEs!E223=0,"",[1]JEs!E223)</f>
        <v>Loan/Notes receivable</v>
      </c>
      <c r="G224" s="43" t="str">
        <f>IF([1]JEs!F223=0,"",[1]JEs!F223)</f>
        <v/>
      </c>
      <c r="H224" s="43">
        <f>IF([1]JEs!G223=0,"",[1]JEs!G223)</f>
        <v>50332.778746744974</v>
      </c>
      <c r="I224" s="43" t="str">
        <f>IF([1]JEs!H223=0,"",[1]JEs!H223)</f>
        <v>Loan/Notes receivable adjustment - September 2024</v>
      </c>
      <c r="J224" s="43"/>
      <c r="K224" s="10" t="str">
        <f t="shared" si="16"/>
        <v>Loan/Notes receivable</v>
      </c>
      <c r="L224" s="96">
        <f t="shared" si="17"/>
        <v>-50332.778746744974</v>
      </c>
      <c r="M224" s="10" t="str">
        <f>VLOOKUP(K224,'Chart of Accounts'!$C:$D,2,0)</f>
        <v>Loan/Notes receivable</v>
      </c>
    </row>
    <row r="225" spans="2:13" outlineLevel="1" x14ac:dyDescent="0.25">
      <c r="B225" s="40">
        <f>+[1]JEs!B224</f>
        <v>45565</v>
      </c>
      <c r="C225" s="40">
        <f t="shared" si="18"/>
        <v>45565</v>
      </c>
      <c r="D225" s="40">
        <f t="shared" si="19"/>
        <v>45565</v>
      </c>
      <c r="E225" s="43" t="str">
        <f>IF([1]JEs!D224=0,"",[1]JEs!D224)</f>
        <v/>
      </c>
      <c r="F225" s="43" t="str">
        <f>IF([1]JEs!E224=0,"",[1]JEs!E224)</f>
        <v>Interest Income</v>
      </c>
      <c r="G225" s="43" t="str">
        <f>IF([1]JEs!F224=0,"",[1]JEs!F224)</f>
        <v/>
      </c>
      <c r="H225" s="43">
        <f>IF([1]JEs!G224=0,"",[1]JEs!G224)</f>
        <v>12339.952176116729</v>
      </c>
      <c r="I225" s="43" t="str">
        <f>IF([1]JEs!H224=0,"",[1]JEs!H224)</f>
        <v>Interest income earned for the period - September 2024</v>
      </c>
      <c r="J225" s="43"/>
      <c r="K225" s="10" t="str">
        <f t="shared" si="16"/>
        <v>Interest Income</v>
      </c>
      <c r="L225" s="96">
        <f t="shared" si="17"/>
        <v>-12339.952176116729</v>
      </c>
      <c r="M225" s="188" t="str">
        <f>VLOOKUP(K225,'Chart of Accounts'!$C:$D,2,0)</f>
        <v>Interest Income</v>
      </c>
    </row>
    <row r="226" spans="2:13" outlineLevel="1" x14ac:dyDescent="0.25">
      <c r="B226" s="40">
        <f>+[1]JEs!B225</f>
        <v>45596</v>
      </c>
      <c r="C226" s="40">
        <f t="shared" si="18"/>
        <v>45596</v>
      </c>
      <c r="D226" s="40">
        <f t="shared" si="19"/>
        <v>45657</v>
      </c>
      <c r="E226" s="43" t="str">
        <f>IF([1]JEs!D225=0,"",[1]JEs!D225)</f>
        <v>Cash and cash equivalents</v>
      </c>
      <c r="F226" s="43" t="str">
        <f>IF([1]JEs!E225=0,"",[1]JEs!E225)</f>
        <v/>
      </c>
      <c r="G226" s="43">
        <f>IF([1]JEs!F225=0,"",[1]JEs!F225)</f>
        <v>62672.730922861701</v>
      </c>
      <c r="H226" s="43" t="str">
        <f>IF([1]JEs!G225=0,"",[1]JEs!G225)</f>
        <v/>
      </c>
      <c r="I226" s="43" t="str">
        <f>IF([1]JEs!H225=0,"",[1]JEs!H225)</f>
        <v>E-commerce interest income received - October 2024</v>
      </c>
      <c r="J226" s="43"/>
      <c r="K226" s="10" t="str">
        <f t="shared" si="16"/>
        <v>Cash and cash equivalents</v>
      </c>
      <c r="L226" s="96">
        <f t="shared" si="17"/>
        <v>62672.730922861701</v>
      </c>
      <c r="M226" s="10" t="str">
        <f>VLOOKUP(K226,'Chart of Accounts'!$C:$D,2,0)</f>
        <v>Cash and equivalents</v>
      </c>
    </row>
    <row r="227" spans="2:13" outlineLevel="1" x14ac:dyDescent="0.25">
      <c r="B227" s="40">
        <f>+[1]JEs!B226</f>
        <v>45596</v>
      </c>
      <c r="C227" s="40">
        <f t="shared" si="18"/>
        <v>45596</v>
      </c>
      <c r="D227" s="40">
        <f t="shared" si="19"/>
        <v>45657</v>
      </c>
      <c r="E227" s="43" t="str">
        <f>IF([1]JEs!D226=0,"",[1]JEs!D226)</f>
        <v/>
      </c>
      <c r="F227" s="43" t="str">
        <f>IF([1]JEs!E226=0,"",[1]JEs!E226)</f>
        <v>Loan/Notes receivable</v>
      </c>
      <c r="G227" s="43" t="str">
        <f>IF([1]JEs!F226=0,"",[1]JEs!F226)</f>
        <v/>
      </c>
      <c r="H227" s="43">
        <f>IF([1]JEs!G226=0,"",[1]JEs!G226)</f>
        <v>50668.33060505661</v>
      </c>
      <c r="I227" s="43" t="str">
        <f>IF([1]JEs!H226=0,"",[1]JEs!H226)</f>
        <v>Loan/Notes receivable adjustment - October 2024</v>
      </c>
      <c r="J227" s="43"/>
      <c r="K227" s="10" t="str">
        <f t="shared" si="16"/>
        <v>Loan/Notes receivable</v>
      </c>
      <c r="L227" s="96">
        <f t="shared" si="17"/>
        <v>-50668.33060505661</v>
      </c>
      <c r="M227" s="10" t="str">
        <f>VLOOKUP(K227,'Chart of Accounts'!$C:$D,2,0)</f>
        <v>Loan/Notes receivable</v>
      </c>
    </row>
    <row r="228" spans="2:13" outlineLevel="1" x14ac:dyDescent="0.25">
      <c r="B228" s="40">
        <f>+[1]JEs!B227</f>
        <v>45596</v>
      </c>
      <c r="C228" s="40">
        <f t="shared" si="18"/>
        <v>45596</v>
      </c>
      <c r="D228" s="40">
        <f t="shared" si="19"/>
        <v>45657</v>
      </c>
      <c r="E228" s="43" t="str">
        <f>IF([1]JEs!D227=0,"",[1]JEs!D227)</f>
        <v/>
      </c>
      <c r="F228" s="43" t="str">
        <f>IF([1]JEs!E227=0,"",[1]JEs!E227)</f>
        <v>Interest Income</v>
      </c>
      <c r="G228" s="43" t="str">
        <f>IF([1]JEs!F227=0,"",[1]JEs!F227)</f>
        <v/>
      </c>
      <c r="H228" s="43">
        <f>IF([1]JEs!G227=0,"",[1]JEs!G227)</f>
        <v>12004.400317805093</v>
      </c>
      <c r="I228" s="43" t="str">
        <f>IF([1]JEs!H227=0,"",[1]JEs!H227)</f>
        <v>Interest income earned for the period - October 2024</v>
      </c>
      <c r="J228" s="43"/>
      <c r="K228" s="10" t="str">
        <f t="shared" si="16"/>
        <v>Interest Income</v>
      </c>
      <c r="L228" s="96">
        <f t="shared" si="17"/>
        <v>-12004.400317805093</v>
      </c>
      <c r="M228" s="188" t="str">
        <f>VLOOKUP(K228,'Chart of Accounts'!$C:$D,2,0)</f>
        <v>Interest Income</v>
      </c>
    </row>
    <row r="229" spans="2:13" outlineLevel="1" x14ac:dyDescent="0.25">
      <c r="B229" s="40">
        <f>+[1]JEs!B228</f>
        <v>45626</v>
      </c>
      <c r="C229" s="40">
        <f t="shared" si="18"/>
        <v>45626</v>
      </c>
      <c r="D229" s="40">
        <f t="shared" si="19"/>
        <v>45657</v>
      </c>
      <c r="E229" s="43" t="str">
        <f>IF([1]JEs!D228=0,"",[1]JEs!D228)</f>
        <v>Cash and cash equivalents</v>
      </c>
      <c r="F229" s="43" t="str">
        <f>IF([1]JEs!E228=0,"",[1]JEs!E228)</f>
        <v/>
      </c>
      <c r="G229" s="43">
        <f>IF([1]JEs!F228=0,"",[1]JEs!F228)</f>
        <v>62672.730922861701</v>
      </c>
      <c r="H229" s="43" t="str">
        <f>IF([1]JEs!G228=0,"",[1]JEs!G228)</f>
        <v/>
      </c>
      <c r="I229" s="43" t="str">
        <f>IF([1]JEs!H228=0,"",[1]JEs!H228)</f>
        <v>E-commerce interest income received - November 2024</v>
      </c>
      <c r="J229" s="43"/>
      <c r="K229" s="10" t="str">
        <f t="shared" si="16"/>
        <v>Cash and cash equivalents</v>
      </c>
      <c r="L229" s="96">
        <f t="shared" si="17"/>
        <v>62672.730922861701</v>
      </c>
      <c r="M229" s="10" t="str">
        <f>VLOOKUP(K229,'Chart of Accounts'!$C:$D,2,0)</f>
        <v>Cash and equivalents</v>
      </c>
    </row>
    <row r="230" spans="2:13" outlineLevel="1" x14ac:dyDescent="0.25">
      <c r="B230" s="40">
        <f>+[1]JEs!B229</f>
        <v>45626</v>
      </c>
      <c r="C230" s="40">
        <f t="shared" si="18"/>
        <v>45626</v>
      </c>
      <c r="D230" s="40">
        <f t="shared" si="19"/>
        <v>45657</v>
      </c>
      <c r="E230" s="43" t="str">
        <f>IF([1]JEs!D229=0,"",[1]JEs!D229)</f>
        <v/>
      </c>
      <c r="F230" s="43" t="str">
        <f>IF([1]JEs!E229=0,"",[1]JEs!E229)</f>
        <v>Loan/Notes receivable</v>
      </c>
      <c r="G230" s="43" t="str">
        <f>IF([1]JEs!F229=0,"",[1]JEs!F229)</f>
        <v/>
      </c>
      <c r="H230" s="43">
        <f>IF([1]JEs!G229=0,"",[1]JEs!G229)</f>
        <v>51006.119475756983</v>
      </c>
      <c r="I230" s="43" t="str">
        <f>IF([1]JEs!H229=0,"",[1]JEs!H229)</f>
        <v>Loan/Notes receivable adjustment - November 2024</v>
      </c>
      <c r="J230" s="43"/>
      <c r="K230" s="10" t="str">
        <f t="shared" si="16"/>
        <v>Loan/Notes receivable</v>
      </c>
      <c r="L230" s="96">
        <f t="shared" si="17"/>
        <v>-51006.119475756983</v>
      </c>
      <c r="M230" s="10" t="str">
        <f>VLOOKUP(K230,'Chart of Accounts'!$C:$D,2,0)</f>
        <v>Loan/Notes receivable</v>
      </c>
    </row>
    <row r="231" spans="2:13" outlineLevel="1" x14ac:dyDescent="0.25">
      <c r="B231" s="40">
        <f>+[1]JEs!B230</f>
        <v>45626</v>
      </c>
      <c r="C231" s="40">
        <f t="shared" si="18"/>
        <v>45626</v>
      </c>
      <c r="D231" s="40">
        <f t="shared" si="19"/>
        <v>45657</v>
      </c>
      <c r="E231" s="43" t="str">
        <f>IF([1]JEs!D230=0,"",[1]JEs!D230)</f>
        <v/>
      </c>
      <c r="F231" s="43" t="str">
        <f>IF([1]JEs!E230=0,"",[1]JEs!E230)</f>
        <v>Interest Income</v>
      </c>
      <c r="G231" s="43" t="str">
        <f>IF([1]JEs!F230=0,"",[1]JEs!F230)</f>
        <v/>
      </c>
      <c r="H231" s="43">
        <f>IF([1]JEs!G230=0,"",[1]JEs!G230)</f>
        <v>11666.611447104717</v>
      </c>
      <c r="I231" s="43" t="str">
        <f>IF([1]JEs!H230=0,"",[1]JEs!H230)</f>
        <v>Interest income earned for the period - November 2024</v>
      </c>
      <c r="J231" s="43"/>
      <c r="K231" s="10" t="str">
        <f t="shared" si="16"/>
        <v>Interest Income</v>
      </c>
      <c r="L231" s="96">
        <f t="shared" si="17"/>
        <v>-11666.611447104717</v>
      </c>
      <c r="M231" s="188" t="str">
        <f>VLOOKUP(K231,'Chart of Accounts'!$C:$D,2,0)</f>
        <v>Interest Income</v>
      </c>
    </row>
    <row r="232" spans="2:13" outlineLevel="1" x14ac:dyDescent="0.25">
      <c r="B232" s="40">
        <f>+[1]JEs!B231</f>
        <v>45657</v>
      </c>
      <c r="C232" s="40">
        <f t="shared" si="18"/>
        <v>45657</v>
      </c>
      <c r="D232" s="40">
        <f t="shared" si="19"/>
        <v>45657</v>
      </c>
      <c r="E232" s="43" t="str">
        <f>IF([1]JEs!D231=0,"",[1]JEs!D231)</f>
        <v>Cash and cash equivalents</v>
      </c>
      <c r="F232" s="43" t="str">
        <f>IF([1]JEs!E231=0,"",[1]JEs!E231)</f>
        <v/>
      </c>
      <c r="G232" s="43">
        <f>IF([1]JEs!F231=0,"",[1]JEs!F231)</f>
        <v>62672.730922861701</v>
      </c>
      <c r="H232" s="43" t="str">
        <f>IF([1]JEs!G231=0,"",[1]JEs!G231)</f>
        <v/>
      </c>
      <c r="I232" s="43" t="str">
        <f>IF([1]JEs!H231=0,"",[1]JEs!H231)</f>
        <v>E-commerce interest income received - December 2024</v>
      </c>
      <c r="J232" s="43"/>
      <c r="K232" s="10" t="str">
        <f t="shared" si="16"/>
        <v>Cash and cash equivalents</v>
      </c>
      <c r="L232" s="96">
        <f t="shared" si="17"/>
        <v>62672.730922861701</v>
      </c>
      <c r="M232" s="10" t="str">
        <f>VLOOKUP(K232,'Chart of Accounts'!$C:$D,2,0)</f>
        <v>Cash and equivalents</v>
      </c>
    </row>
    <row r="233" spans="2:13" outlineLevel="1" x14ac:dyDescent="0.25">
      <c r="B233" s="40">
        <f>+[1]JEs!B232</f>
        <v>45657</v>
      </c>
      <c r="C233" s="40">
        <f t="shared" si="18"/>
        <v>45657</v>
      </c>
      <c r="D233" s="40">
        <f t="shared" si="19"/>
        <v>45657</v>
      </c>
      <c r="E233" s="43" t="str">
        <f>IF([1]JEs!D232=0,"",[1]JEs!D232)</f>
        <v/>
      </c>
      <c r="F233" s="43" t="str">
        <f>IF([1]JEs!E232=0,"",[1]JEs!E232)</f>
        <v>Loan/Notes receivable</v>
      </c>
      <c r="G233" s="43" t="str">
        <f>IF([1]JEs!F232=0,"",[1]JEs!F232)</f>
        <v/>
      </c>
      <c r="H233" s="43">
        <f>IF([1]JEs!G232=0,"",[1]JEs!G232)</f>
        <v>51346.16027226203</v>
      </c>
      <c r="I233" s="43" t="str">
        <f>IF([1]JEs!H232=0,"",[1]JEs!H232)</f>
        <v>Loan/Notes receivable adjustment - December 2024</v>
      </c>
      <c r="J233" s="43"/>
      <c r="K233" s="10" t="str">
        <f t="shared" si="16"/>
        <v>Loan/Notes receivable</v>
      </c>
      <c r="L233" s="96">
        <f t="shared" si="17"/>
        <v>-51346.16027226203</v>
      </c>
      <c r="M233" s="10" t="str">
        <f>VLOOKUP(K233,'Chart of Accounts'!$C:$D,2,0)</f>
        <v>Loan/Notes receivable</v>
      </c>
    </row>
    <row r="234" spans="2:13" outlineLevel="1" x14ac:dyDescent="0.25">
      <c r="B234" s="40">
        <f>+[1]JEs!B233</f>
        <v>45657</v>
      </c>
      <c r="C234" s="40">
        <f t="shared" si="18"/>
        <v>45657</v>
      </c>
      <c r="D234" s="40">
        <f t="shared" si="19"/>
        <v>45657</v>
      </c>
      <c r="E234" s="43" t="str">
        <f>IF([1]JEs!D233=0,"",[1]JEs!D233)</f>
        <v/>
      </c>
      <c r="F234" s="43" t="str">
        <f>IF([1]JEs!E233=0,"",[1]JEs!E233)</f>
        <v>Interest Income</v>
      </c>
      <c r="G234" s="43" t="str">
        <f>IF([1]JEs!F233=0,"",[1]JEs!F233)</f>
        <v/>
      </c>
      <c r="H234" s="43">
        <f>IF([1]JEs!G233=0,"",[1]JEs!G233)</f>
        <v>11326.570650599671</v>
      </c>
      <c r="I234" s="43" t="str">
        <f>IF([1]JEs!H233=0,"",[1]JEs!H233)</f>
        <v>Interest income earned for the period - December 2024</v>
      </c>
      <c r="J234" s="43"/>
      <c r="K234" s="10" t="str">
        <f t="shared" si="16"/>
        <v>Interest Income</v>
      </c>
      <c r="L234" s="96">
        <f t="shared" si="17"/>
        <v>-11326.570650599671</v>
      </c>
      <c r="M234" s="188" t="str">
        <f>VLOOKUP(K234,'Chart of Accounts'!$C:$D,2,0)</f>
        <v>Interest Income</v>
      </c>
    </row>
    <row r="235" spans="2:13" outlineLevel="1" x14ac:dyDescent="0.25">
      <c r="B235" s="40">
        <f>+[1]JEs!B234</f>
        <v>45473</v>
      </c>
      <c r="C235" s="40">
        <f t="shared" si="18"/>
        <v>45473</v>
      </c>
      <c r="D235" s="40">
        <f t="shared" si="19"/>
        <v>45473</v>
      </c>
      <c r="E235" s="43" t="str">
        <f>IF([1]JEs!D234=0,"",[1]JEs!D234)</f>
        <v>Cash and cash equivalents</v>
      </c>
      <c r="F235" s="43" t="str">
        <f>IF([1]JEs!E234=0,"",[1]JEs!E234)</f>
        <v/>
      </c>
      <c r="G235" s="43">
        <f>IF([1]JEs!F234=0,"",[1]JEs!F234)</f>
        <v>71369.790259076195</v>
      </c>
      <c r="H235" s="43" t="str">
        <f>IF([1]JEs!G234=0,"",[1]JEs!G234)</f>
        <v/>
      </c>
      <c r="I235" s="43" t="str">
        <f>IF([1]JEs!H234=0,"",[1]JEs!H234)</f>
        <v>Apartment Construction Loan interest income received - June 2024</v>
      </c>
      <c r="J235" s="43"/>
      <c r="K235" s="10" t="str">
        <f t="shared" si="16"/>
        <v>Cash and cash equivalents</v>
      </c>
      <c r="L235" s="96">
        <f t="shared" si="17"/>
        <v>71369.790259076195</v>
      </c>
      <c r="M235" s="10" t="str">
        <f>VLOOKUP(K235,'Chart of Accounts'!$C:$D,2,0)</f>
        <v>Cash and equivalents</v>
      </c>
    </row>
    <row r="236" spans="2:13" outlineLevel="1" x14ac:dyDescent="0.25">
      <c r="B236" s="40">
        <f>+[1]JEs!B235</f>
        <v>45473</v>
      </c>
      <c r="C236" s="40">
        <f t="shared" si="18"/>
        <v>45473</v>
      </c>
      <c r="D236" s="40">
        <f t="shared" si="19"/>
        <v>45473</v>
      </c>
      <c r="E236" s="43" t="str">
        <f>IF([1]JEs!D235=0,"",[1]JEs!D235)</f>
        <v/>
      </c>
      <c r="F236" s="43" t="str">
        <f>IF([1]JEs!E235=0,"",[1]JEs!E235)</f>
        <v>Loan/Notes receivable</v>
      </c>
      <c r="G236" s="43" t="str">
        <f>IF([1]JEs!F235=0,"",[1]JEs!F235)</f>
        <v/>
      </c>
      <c r="H236" s="43">
        <f>IF([1]JEs!G235=0,"",[1]JEs!G235)</f>
        <v>33869.790259076195</v>
      </c>
      <c r="I236" s="43" t="str">
        <f>IF([1]JEs!H235=0,"",[1]JEs!H235)</f>
        <v>Apartment Construction Loan/Notes receivable adjustment - June 2024</v>
      </c>
      <c r="J236" s="43"/>
      <c r="K236" s="10" t="str">
        <f t="shared" si="16"/>
        <v>Loan/Notes receivable</v>
      </c>
      <c r="L236" s="96">
        <f t="shared" si="17"/>
        <v>-33869.790259076195</v>
      </c>
      <c r="M236" s="10" t="str">
        <f>VLOOKUP(K236,'Chart of Accounts'!$C:$D,2,0)</f>
        <v>Loan/Notes receivable</v>
      </c>
    </row>
    <row r="237" spans="2:13" outlineLevel="1" x14ac:dyDescent="0.25">
      <c r="B237" s="40">
        <f>+[1]JEs!B236</f>
        <v>45473</v>
      </c>
      <c r="C237" s="40">
        <f t="shared" si="18"/>
        <v>45473</v>
      </c>
      <c r="D237" s="40">
        <f t="shared" si="19"/>
        <v>45473</v>
      </c>
      <c r="E237" s="43" t="str">
        <f>IF([1]JEs!D236=0,"",[1]JEs!D236)</f>
        <v/>
      </c>
      <c r="F237" s="43" t="str">
        <f>IF([1]JEs!E236=0,"",[1]JEs!E236)</f>
        <v>Interest Income</v>
      </c>
      <c r="G237" s="43" t="str">
        <f>IF([1]JEs!F236=0,"",[1]JEs!F236)</f>
        <v/>
      </c>
      <c r="H237" s="43">
        <f>IF([1]JEs!G236=0,"",[1]JEs!G236)</f>
        <v>37500</v>
      </c>
      <c r="I237" s="43" t="str">
        <f>IF([1]JEs!H236=0,"",[1]JEs!H236)</f>
        <v>Apartment Construction Loan Interest income earned for the period - June 2024</v>
      </c>
      <c r="J237" s="43"/>
      <c r="K237" s="10" t="str">
        <f t="shared" si="16"/>
        <v>Interest Income</v>
      </c>
      <c r="L237" s="96">
        <f t="shared" si="17"/>
        <v>-37500</v>
      </c>
      <c r="M237" s="188" t="str">
        <f>VLOOKUP(K237,'Chart of Accounts'!$C:$D,2,0)</f>
        <v>Interest Income</v>
      </c>
    </row>
    <row r="238" spans="2:13" outlineLevel="1" x14ac:dyDescent="0.25">
      <c r="B238" s="40">
        <f>+[1]JEs!B237</f>
        <v>45504</v>
      </c>
      <c r="C238" s="40">
        <f t="shared" si="18"/>
        <v>45504</v>
      </c>
      <c r="D238" s="40">
        <f t="shared" si="19"/>
        <v>45565</v>
      </c>
      <c r="E238" s="43" t="str">
        <f>IF([1]JEs!D237=0,"",[1]JEs!D237)</f>
        <v>Cash and cash equivalents</v>
      </c>
      <c r="F238" s="43" t="str">
        <f>IF([1]JEs!E237=0,"",[1]JEs!E237)</f>
        <v/>
      </c>
      <c r="G238" s="43">
        <f>IF([1]JEs!F237=0,"",[1]JEs!F237)</f>
        <v>71369.790259076195</v>
      </c>
      <c r="H238" s="43" t="str">
        <f>IF([1]JEs!G237=0,"",[1]JEs!G237)</f>
        <v/>
      </c>
      <c r="I238" s="43" t="str">
        <f>IF([1]JEs!H237=0,"",[1]JEs!H237)</f>
        <v>Apartment Construction Loan interest income received - July 2024</v>
      </c>
      <c r="J238" s="43"/>
      <c r="K238" s="10" t="str">
        <f t="shared" si="16"/>
        <v>Cash and cash equivalents</v>
      </c>
      <c r="L238" s="96">
        <f t="shared" si="17"/>
        <v>71369.790259076195</v>
      </c>
      <c r="M238" s="10" t="str">
        <f>VLOOKUP(K238,'Chart of Accounts'!$C:$D,2,0)</f>
        <v>Cash and equivalents</v>
      </c>
    </row>
    <row r="239" spans="2:13" outlineLevel="1" x14ac:dyDescent="0.25">
      <c r="B239" s="40">
        <f>+[1]JEs!B238</f>
        <v>45504</v>
      </c>
      <c r="C239" s="40">
        <f t="shared" si="18"/>
        <v>45504</v>
      </c>
      <c r="D239" s="40">
        <f t="shared" si="19"/>
        <v>45565</v>
      </c>
      <c r="E239" s="43" t="str">
        <f>IF([1]JEs!D238=0,"",[1]JEs!D238)</f>
        <v/>
      </c>
      <c r="F239" s="43" t="str">
        <f>IF([1]JEs!E238=0,"",[1]JEs!E238)</f>
        <v>Loan/Notes receivable</v>
      </c>
      <c r="G239" s="43" t="str">
        <f>IF([1]JEs!F238=0,"",[1]JEs!F238)</f>
        <v/>
      </c>
      <c r="H239" s="43">
        <f>IF([1]JEs!G238=0,"",[1]JEs!G238)</f>
        <v>34293.16263731465</v>
      </c>
      <c r="I239" s="43" t="str">
        <f>IF([1]JEs!H238=0,"",[1]JEs!H238)</f>
        <v>Apartment Construction Loan/Notes receivable adjustment - July 2024</v>
      </c>
      <c r="J239" s="43"/>
      <c r="K239" s="10" t="str">
        <f t="shared" si="16"/>
        <v>Loan/Notes receivable</v>
      </c>
      <c r="L239" s="96">
        <f t="shared" si="17"/>
        <v>-34293.16263731465</v>
      </c>
      <c r="M239" s="10" t="str">
        <f>VLOOKUP(K239,'Chart of Accounts'!$C:$D,2,0)</f>
        <v>Loan/Notes receivable</v>
      </c>
    </row>
    <row r="240" spans="2:13" outlineLevel="1" x14ac:dyDescent="0.25">
      <c r="B240" s="40">
        <f>+[1]JEs!B239</f>
        <v>45504</v>
      </c>
      <c r="C240" s="40">
        <f t="shared" si="18"/>
        <v>45504</v>
      </c>
      <c r="D240" s="40">
        <f t="shared" si="19"/>
        <v>45565</v>
      </c>
      <c r="E240" s="43" t="str">
        <f>IF([1]JEs!D239=0,"",[1]JEs!D239)</f>
        <v/>
      </c>
      <c r="F240" s="43" t="str">
        <f>IF([1]JEs!E239=0,"",[1]JEs!E239)</f>
        <v>Interest Income</v>
      </c>
      <c r="G240" s="43" t="str">
        <f>IF([1]JEs!F239=0,"",[1]JEs!F239)</f>
        <v/>
      </c>
      <c r="H240" s="43">
        <f>IF([1]JEs!G239=0,"",[1]JEs!G239)</f>
        <v>37076.627621761545</v>
      </c>
      <c r="I240" s="43" t="str">
        <f>IF([1]JEs!H239=0,"",[1]JEs!H239)</f>
        <v>Apartment Construction Loan Interest income earned for the period - July 2024</v>
      </c>
      <c r="J240" s="43"/>
      <c r="K240" s="10" t="str">
        <f t="shared" si="16"/>
        <v>Interest Income</v>
      </c>
      <c r="L240" s="96">
        <f t="shared" si="17"/>
        <v>-37076.627621761545</v>
      </c>
      <c r="M240" s="188" t="str">
        <f>VLOOKUP(K240,'Chart of Accounts'!$C:$D,2,0)</f>
        <v>Interest Income</v>
      </c>
    </row>
    <row r="241" spans="2:13" outlineLevel="1" x14ac:dyDescent="0.25">
      <c r="B241" s="40">
        <f>+[1]JEs!B240</f>
        <v>45535</v>
      </c>
      <c r="C241" s="40">
        <f t="shared" si="18"/>
        <v>45535</v>
      </c>
      <c r="D241" s="40">
        <f t="shared" si="19"/>
        <v>45565</v>
      </c>
      <c r="E241" s="43" t="str">
        <f>IF([1]JEs!D240=0,"",[1]JEs!D240)</f>
        <v>Cash and cash equivalents</v>
      </c>
      <c r="F241" s="43" t="str">
        <f>IF([1]JEs!E240=0,"",[1]JEs!E240)</f>
        <v/>
      </c>
      <c r="G241" s="43">
        <f>IF([1]JEs!F240=0,"",[1]JEs!F240)</f>
        <v>71369.790259076195</v>
      </c>
      <c r="H241" s="43" t="str">
        <f>IF([1]JEs!G240=0,"",[1]JEs!G240)</f>
        <v/>
      </c>
      <c r="I241" s="43" t="str">
        <f>IF([1]JEs!H240=0,"",[1]JEs!H240)</f>
        <v>Apartment Construction Loan interest income received - August 2024</v>
      </c>
      <c r="J241" s="43"/>
      <c r="K241" s="10" t="str">
        <f t="shared" si="16"/>
        <v>Cash and cash equivalents</v>
      </c>
      <c r="L241" s="96">
        <f t="shared" si="17"/>
        <v>71369.790259076195</v>
      </c>
      <c r="M241" s="10" t="str">
        <f>VLOOKUP(K241,'Chart of Accounts'!$C:$D,2,0)</f>
        <v>Cash and equivalents</v>
      </c>
    </row>
    <row r="242" spans="2:13" outlineLevel="1" x14ac:dyDescent="0.25">
      <c r="B242" s="40">
        <f>+[1]JEs!B241</f>
        <v>45535</v>
      </c>
      <c r="C242" s="40">
        <f t="shared" si="18"/>
        <v>45535</v>
      </c>
      <c r="D242" s="40">
        <f t="shared" si="19"/>
        <v>45565</v>
      </c>
      <c r="E242" s="43" t="str">
        <f>IF([1]JEs!D241=0,"",[1]JEs!D241)</f>
        <v/>
      </c>
      <c r="F242" s="43" t="str">
        <f>IF([1]JEs!E241=0,"",[1]JEs!E241)</f>
        <v>Loan/Notes receivable</v>
      </c>
      <c r="G242" s="43" t="str">
        <f>IF([1]JEs!F241=0,"",[1]JEs!F241)</f>
        <v/>
      </c>
      <c r="H242" s="43">
        <f>IF([1]JEs!G241=0,"",[1]JEs!G241)</f>
        <v>34721.827170281082</v>
      </c>
      <c r="I242" s="43" t="str">
        <f>IF([1]JEs!H241=0,"",[1]JEs!H241)</f>
        <v>Apartment Construction Loan/Notes receivable adjustment - August 2024</v>
      </c>
      <c r="J242" s="43"/>
      <c r="K242" s="10" t="str">
        <f t="shared" si="16"/>
        <v>Loan/Notes receivable</v>
      </c>
      <c r="L242" s="96">
        <f t="shared" si="17"/>
        <v>-34721.827170281082</v>
      </c>
      <c r="M242" s="10" t="str">
        <f>VLOOKUP(K242,'Chart of Accounts'!$C:$D,2,0)</f>
        <v>Loan/Notes receivable</v>
      </c>
    </row>
    <row r="243" spans="2:13" outlineLevel="1" x14ac:dyDescent="0.25">
      <c r="B243" s="40">
        <f>+[1]JEs!B242</f>
        <v>45535</v>
      </c>
      <c r="C243" s="40">
        <f t="shared" si="18"/>
        <v>45535</v>
      </c>
      <c r="D243" s="40">
        <f t="shared" si="19"/>
        <v>45565</v>
      </c>
      <c r="E243" s="43" t="str">
        <f>IF([1]JEs!D242=0,"",[1]JEs!D242)</f>
        <v/>
      </c>
      <c r="F243" s="43" t="str">
        <f>IF([1]JEs!E242=0,"",[1]JEs!E242)</f>
        <v>Interest Income</v>
      </c>
      <c r="G243" s="43" t="str">
        <f>IF([1]JEs!F242=0,"",[1]JEs!F242)</f>
        <v/>
      </c>
      <c r="H243" s="43">
        <f>IF([1]JEs!G242=0,"",[1]JEs!G242)</f>
        <v>36647.963088795113</v>
      </c>
      <c r="I243" s="43" t="str">
        <f>IF([1]JEs!H242=0,"",[1]JEs!H242)</f>
        <v>Apartment Construction Loan Interest income earned for the period - August 2024</v>
      </c>
      <c r="J243" s="43"/>
      <c r="K243" s="10" t="str">
        <f t="shared" si="16"/>
        <v>Interest Income</v>
      </c>
      <c r="L243" s="96">
        <f t="shared" si="17"/>
        <v>-36647.963088795113</v>
      </c>
      <c r="M243" s="188" t="str">
        <f>VLOOKUP(K243,'Chart of Accounts'!$C:$D,2,0)</f>
        <v>Interest Income</v>
      </c>
    </row>
    <row r="244" spans="2:13" outlineLevel="1" x14ac:dyDescent="0.25">
      <c r="B244" s="40">
        <f>+[1]JEs!B243</f>
        <v>45565</v>
      </c>
      <c r="C244" s="40">
        <f t="shared" si="18"/>
        <v>45565</v>
      </c>
      <c r="D244" s="40">
        <f t="shared" si="19"/>
        <v>45565</v>
      </c>
      <c r="E244" s="43" t="str">
        <f>IF([1]JEs!D243=0,"",[1]JEs!D243)</f>
        <v>Cash and cash equivalents</v>
      </c>
      <c r="F244" s="43" t="str">
        <f>IF([1]JEs!E243=0,"",[1]JEs!E243)</f>
        <v/>
      </c>
      <c r="G244" s="43">
        <f>IF([1]JEs!F243=0,"",[1]JEs!F243)</f>
        <v>71369.790259076195</v>
      </c>
      <c r="H244" s="43" t="str">
        <f>IF([1]JEs!G243=0,"",[1]JEs!G243)</f>
        <v/>
      </c>
      <c r="I244" s="43" t="str">
        <f>IF([1]JEs!H243=0,"",[1]JEs!H243)</f>
        <v>Apartment Construction Loan interest income received - September 2024</v>
      </c>
      <c r="J244" s="43"/>
      <c r="K244" s="10" t="str">
        <f t="shared" si="16"/>
        <v>Cash and cash equivalents</v>
      </c>
      <c r="L244" s="96">
        <f t="shared" si="17"/>
        <v>71369.790259076195</v>
      </c>
      <c r="M244" s="10" t="str">
        <f>VLOOKUP(K244,'Chart of Accounts'!$C:$D,2,0)</f>
        <v>Cash and equivalents</v>
      </c>
    </row>
    <row r="245" spans="2:13" outlineLevel="1" x14ac:dyDescent="0.25">
      <c r="B245" s="40">
        <f>+[1]JEs!B244</f>
        <v>45565</v>
      </c>
      <c r="C245" s="40">
        <f t="shared" si="18"/>
        <v>45565</v>
      </c>
      <c r="D245" s="40">
        <f t="shared" si="19"/>
        <v>45565</v>
      </c>
      <c r="E245" s="43" t="str">
        <f>IF([1]JEs!D244=0,"",[1]JEs!D244)</f>
        <v/>
      </c>
      <c r="F245" s="43" t="str">
        <f>IF([1]JEs!E244=0,"",[1]JEs!E244)</f>
        <v>Loan/Notes receivable</v>
      </c>
      <c r="G245" s="43" t="str">
        <f>IF([1]JEs!F244=0,"",[1]JEs!F244)</f>
        <v/>
      </c>
      <c r="H245" s="43">
        <f>IF([1]JEs!G244=0,"",[1]JEs!G244)</f>
        <v>35155.850009909598</v>
      </c>
      <c r="I245" s="43" t="str">
        <f>IF([1]JEs!H244=0,"",[1]JEs!H244)</f>
        <v>Apartment Construction Loan/Notes receivable adjustment - September 2024</v>
      </c>
      <c r="J245" s="43"/>
      <c r="K245" s="10" t="str">
        <f t="shared" si="16"/>
        <v>Loan/Notes receivable</v>
      </c>
      <c r="L245" s="96">
        <f t="shared" si="17"/>
        <v>-35155.850009909598</v>
      </c>
      <c r="M245" s="10" t="str">
        <f>VLOOKUP(K245,'Chart of Accounts'!$C:$D,2,0)</f>
        <v>Loan/Notes receivable</v>
      </c>
    </row>
    <row r="246" spans="2:13" outlineLevel="1" x14ac:dyDescent="0.25">
      <c r="B246" s="40">
        <f>+[1]JEs!B245</f>
        <v>45565</v>
      </c>
      <c r="C246" s="40">
        <f t="shared" si="18"/>
        <v>45565</v>
      </c>
      <c r="D246" s="40">
        <f t="shared" si="19"/>
        <v>45565</v>
      </c>
      <c r="E246" s="43" t="str">
        <f>IF([1]JEs!D245=0,"",[1]JEs!D245)</f>
        <v/>
      </c>
      <c r="F246" s="43" t="str">
        <f>IF([1]JEs!E245=0,"",[1]JEs!E245)</f>
        <v>Interest Income</v>
      </c>
      <c r="G246" s="43" t="str">
        <f>IF([1]JEs!F245=0,"",[1]JEs!F245)</f>
        <v/>
      </c>
      <c r="H246" s="43">
        <f>IF([1]JEs!G245=0,"",[1]JEs!G245)</f>
        <v>36213.940249166597</v>
      </c>
      <c r="I246" s="43" t="str">
        <f>IF([1]JEs!H245=0,"",[1]JEs!H245)</f>
        <v>Apartment Construction Loan Interest income earned for the period - September 2024</v>
      </c>
      <c r="J246" s="43"/>
      <c r="K246" s="10" t="str">
        <f t="shared" si="16"/>
        <v>Interest Income</v>
      </c>
      <c r="L246" s="96">
        <f t="shared" si="17"/>
        <v>-36213.940249166597</v>
      </c>
      <c r="M246" s="188" t="str">
        <f>VLOOKUP(K246,'Chart of Accounts'!$C:$D,2,0)</f>
        <v>Interest Income</v>
      </c>
    </row>
    <row r="247" spans="2:13" outlineLevel="1" x14ac:dyDescent="0.25">
      <c r="B247" s="40">
        <f>+[1]JEs!B246</f>
        <v>45596</v>
      </c>
      <c r="C247" s="40">
        <f t="shared" si="18"/>
        <v>45596</v>
      </c>
      <c r="D247" s="40">
        <f t="shared" si="19"/>
        <v>45657</v>
      </c>
      <c r="E247" s="43" t="str">
        <f>IF([1]JEs!D246=0,"",[1]JEs!D246)</f>
        <v>Cash and cash equivalents</v>
      </c>
      <c r="F247" s="43" t="str">
        <f>IF([1]JEs!E246=0,"",[1]JEs!E246)</f>
        <v/>
      </c>
      <c r="G247" s="43">
        <f>IF([1]JEs!F246=0,"",[1]JEs!F246)</f>
        <v>71369.790259076195</v>
      </c>
      <c r="H247" s="43" t="str">
        <f>IF([1]JEs!G246=0,"",[1]JEs!G246)</f>
        <v/>
      </c>
      <c r="I247" s="43" t="str">
        <f>IF([1]JEs!H246=0,"",[1]JEs!H246)</f>
        <v>Apartment Construction Loan interest income received - October 2024</v>
      </c>
      <c r="J247" s="43"/>
      <c r="K247" s="10" t="str">
        <f t="shared" si="16"/>
        <v>Cash and cash equivalents</v>
      </c>
      <c r="L247" s="96">
        <f t="shared" si="17"/>
        <v>71369.790259076195</v>
      </c>
      <c r="M247" s="10" t="str">
        <f>VLOOKUP(K247,'Chart of Accounts'!$C:$D,2,0)</f>
        <v>Cash and equivalents</v>
      </c>
    </row>
    <row r="248" spans="2:13" outlineLevel="1" x14ac:dyDescent="0.25">
      <c r="B248" s="40">
        <f>+[1]JEs!B247</f>
        <v>45596</v>
      </c>
      <c r="C248" s="40">
        <f t="shared" si="18"/>
        <v>45596</v>
      </c>
      <c r="D248" s="40">
        <f t="shared" si="19"/>
        <v>45657</v>
      </c>
      <c r="E248" s="43" t="str">
        <f>IF([1]JEs!D247=0,"",[1]JEs!D247)</f>
        <v/>
      </c>
      <c r="F248" s="43" t="str">
        <f>IF([1]JEs!E247=0,"",[1]JEs!E247)</f>
        <v>Loan/Notes receivable</v>
      </c>
      <c r="G248" s="43" t="str">
        <f>IF([1]JEs!F247=0,"",[1]JEs!F247)</f>
        <v/>
      </c>
      <c r="H248" s="43">
        <f>IF([1]JEs!G247=0,"",[1]JEs!G247)</f>
        <v>35595.298135033467</v>
      </c>
      <c r="I248" s="43" t="str">
        <f>IF([1]JEs!H247=0,"",[1]JEs!H247)</f>
        <v>Apartment Construction Loan/Notes receivable adjustment - October 2024</v>
      </c>
      <c r="J248" s="43"/>
      <c r="K248" s="10" t="str">
        <f t="shared" si="16"/>
        <v>Loan/Notes receivable</v>
      </c>
      <c r="L248" s="96">
        <f t="shared" si="17"/>
        <v>-35595.298135033467</v>
      </c>
      <c r="M248" s="10" t="str">
        <f>VLOOKUP(K248,'Chart of Accounts'!$C:$D,2,0)</f>
        <v>Loan/Notes receivable</v>
      </c>
    </row>
    <row r="249" spans="2:13" outlineLevel="1" x14ac:dyDescent="0.25">
      <c r="B249" s="40">
        <f>+[1]JEs!B248</f>
        <v>45596</v>
      </c>
      <c r="C249" s="40">
        <f t="shared" si="18"/>
        <v>45596</v>
      </c>
      <c r="D249" s="40">
        <f t="shared" si="19"/>
        <v>45657</v>
      </c>
      <c r="E249" s="43" t="str">
        <f>IF([1]JEs!D248=0,"",[1]JEs!D248)</f>
        <v/>
      </c>
      <c r="F249" s="43" t="str">
        <f>IF([1]JEs!E248=0,"",[1]JEs!E248)</f>
        <v>Interest Income</v>
      </c>
      <c r="G249" s="43" t="str">
        <f>IF([1]JEs!F248=0,"",[1]JEs!F248)</f>
        <v/>
      </c>
      <c r="H249" s="43">
        <f>IF([1]JEs!G248=0,"",[1]JEs!G248)</f>
        <v>35774.492124042728</v>
      </c>
      <c r="I249" s="43" t="str">
        <f>IF([1]JEs!H248=0,"",[1]JEs!H248)</f>
        <v>Apartment Construction Loan Interest income earned for the period - October 2024</v>
      </c>
      <c r="J249" s="43"/>
      <c r="K249" s="10" t="str">
        <f t="shared" si="16"/>
        <v>Interest Income</v>
      </c>
      <c r="L249" s="96">
        <f t="shared" si="17"/>
        <v>-35774.492124042728</v>
      </c>
      <c r="M249" s="188" t="str">
        <f>VLOOKUP(K249,'Chart of Accounts'!$C:$D,2,0)</f>
        <v>Interest Income</v>
      </c>
    </row>
    <row r="250" spans="2:13" outlineLevel="1" x14ac:dyDescent="0.25">
      <c r="B250" s="40">
        <f>+[1]JEs!B249</f>
        <v>45626</v>
      </c>
      <c r="C250" s="40">
        <f t="shared" si="18"/>
        <v>45626</v>
      </c>
      <c r="D250" s="40">
        <f t="shared" si="19"/>
        <v>45657</v>
      </c>
      <c r="E250" s="43" t="str">
        <f>IF([1]JEs!D249=0,"",[1]JEs!D249)</f>
        <v>Cash and cash equivalents</v>
      </c>
      <c r="F250" s="43" t="str">
        <f>IF([1]JEs!E249=0,"",[1]JEs!E249)</f>
        <v/>
      </c>
      <c r="G250" s="43">
        <f>IF([1]JEs!F249=0,"",[1]JEs!F249)</f>
        <v>71369.790259076195</v>
      </c>
      <c r="H250" s="43" t="str">
        <f>IF([1]JEs!G249=0,"",[1]JEs!G249)</f>
        <v/>
      </c>
      <c r="I250" s="43" t="str">
        <f>IF([1]JEs!H249=0,"",[1]JEs!H249)</f>
        <v>Apartment Construction Loan interest income received - November 2024</v>
      </c>
      <c r="J250" s="43"/>
      <c r="K250" s="10" t="str">
        <f t="shared" si="16"/>
        <v>Cash and cash equivalents</v>
      </c>
      <c r="L250" s="96">
        <f t="shared" si="17"/>
        <v>71369.790259076195</v>
      </c>
      <c r="M250" s="10" t="str">
        <f>VLOOKUP(K250,'Chart of Accounts'!$C:$D,2,0)</f>
        <v>Cash and equivalents</v>
      </c>
    </row>
    <row r="251" spans="2:13" outlineLevel="1" x14ac:dyDescent="0.25">
      <c r="B251" s="40">
        <f>+[1]JEs!B250</f>
        <v>45626</v>
      </c>
      <c r="C251" s="40">
        <f t="shared" si="18"/>
        <v>45626</v>
      </c>
      <c r="D251" s="40">
        <f t="shared" si="19"/>
        <v>45657</v>
      </c>
      <c r="E251" s="43" t="str">
        <f>IF([1]JEs!D250=0,"",[1]JEs!D250)</f>
        <v/>
      </c>
      <c r="F251" s="43" t="str">
        <f>IF([1]JEs!E250=0,"",[1]JEs!E250)</f>
        <v>Loan/Notes receivable</v>
      </c>
      <c r="G251" s="43" t="str">
        <f>IF([1]JEs!F250=0,"",[1]JEs!F250)</f>
        <v/>
      </c>
      <c r="H251" s="43">
        <f>IF([1]JEs!G250=0,"",[1]JEs!G250)</f>
        <v>36040.239361721382</v>
      </c>
      <c r="I251" s="43" t="str">
        <f>IF([1]JEs!H250=0,"",[1]JEs!H250)</f>
        <v>Apartment Construction Loan/Notes receivable adjustment - November 2024</v>
      </c>
      <c r="J251" s="43"/>
      <c r="K251" s="10" t="str">
        <f t="shared" si="16"/>
        <v>Loan/Notes receivable</v>
      </c>
      <c r="L251" s="96">
        <f t="shared" si="17"/>
        <v>-36040.239361721382</v>
      </c>
      <c r="M251" s="10" t="str">
        <f>VLOOKUP(K251,'Chart of Accounts'!$C:$D,2,0)</f>
        <v>Loan/Notes receivable</v>
      </c>
    </row>
    <row r="252" spans="2:13" outlineLevel="1" x14ac:dyDescent="0.25">
      <c r="B252" s="40">
        <f>+[1]JEs!B251</f>
        <v>45626</v>
      </c>
      <c r="C252" s="40">
        <f t="shared" si="18"/>
        <v>45626</v>
      </c>
      <c r="D252" s="40">
        <f t="shared" si="19"/>
        <v>45657</v>
      </c>
      <c r="E252" s="43" t="str">
        <f>IF([1]JEs!D251=0,"",[1]JEs!D251)</f>
        <v/>
      </c>
      <c r="F252" s="43" t="str">
        <f>IF([1]JEs!E251=0,"",[1]JEs!E251)</f>
        <v>Interest Income</v>
      </c>
      <c r="G252" s="43" t="str">
        <f>IF([1]JEs!F251=0,"",[1]JEs!F251)</f>
        <v/>
      </c>
      <c r="H252" s="43">
        <f>IF([1]JEs!G251=0,"",[1]JEs!G251)</f>
        <v>35329.550897354813</v>
      </c>
      <c r="I252" s="43" t="str">
        <f>IF([1]JEs!H251=0,"",[1]JEs!H251)</f>
        <v>Apartment Construction Loan Interest income earned for the period - November 2024</v>
      </c>
      <c r="J252" s="43"/>
      <c r="K252" s="10" t="str">
        <f t="shared" si="16"/>
        <v>Interest Income</v>
      </c>
      <c r="L252" s="96">
        <f t="shared" si="17"/>
        <v>-35329.550897354813</v>
      </c>
      <c r="M252" s="188" t="str">
        <f>VLOOKUP(K252,'Chart of Accounts'!$C:$D,2,0)</f>
        <v>Interest Income</v>
      </c>
    </row>
    <row r="253" spans="2:13" outlineLevel="1" x14ac:dyDescent="0.25">
      <c r="B253" s="40">
        <f>+[1]JEs!B252</f>
        <v>45657</v>
      </c>
      <c r="C253" s="40">
        <f t="shared" si="18"/>
        <v>45657</v>
      </c>
      <c r="D253" s="40">
        <f t="shared" si="19"/>
        <v>45657</v>
      </c>
      <c r="E253" s="43" t="str">
        <f>IF([1]JEs!D252=0,"",[1]JEs!D252)</f>
        <v>Cash and cash equivalents</v>
      </c>
      <c r="F253" s="43" t="str">
        <f>IF([1]JEs!E252=0,"",[1]JEs!E252)</f>
        <v/>
      </c>
      <c r="G253" s="43">
        <f>IF([1]JEs!F252=0,"",[1]JEs!F252)</f>
        <v>71369.790259076195</v>
      </c>
      <c r="H253" s="43" t="str">
        <f>IF([1]JEs!G252=0,"",[1]JEs!G252)</f>
        <v/>
      </c>
      <c r="I253" s="43" t="str">
        <f>IF([1]JEs!H252=0,"",[1]JEs!H252)</f>
        <v>Apartment Construction Loan interest income received - December 2024</v>
      </c>
      <c r="J253" s="43"/>
      <c r="K253" s="10" t="str">
        <f t="shared" si="16"/>
        <v>Cash and cash equivalents</v>
      </c>
      <c r="L253" s="96">
        <f t="shared" si="17"/>
        <v>71369.790259076195</v>
      </c>
      <c r="M253" s="10" t="str">
        <f>VLOOKUP(K253,'Chart of Accounts'!$C:$D,2,0)</f>
        <v>Cash and equivalents</v>
      </c>
    </row>
    <row r="254" spans="2:13" outlineLevel="1" x14ac:dyDescent="0.25">
      <c r="B254" s="40">
        <f>+[1]JEs!B253</f>
        <v>45657</v>
      </c>
      <c r="C254" s="40">
        <f t="shared" si="18"/>
        <v>45657</v>
      </c>
      <c r="D254" s="40">
        <f t="shared" si="19"/>
        <v>45657</v>
      </c>
      <c r="E254" s="43" t="str">
        <f>IF([1]JEs!D253=0,"",[1]JEs!D253)</f>
        <v/>
      </c>
      <c r="F254" s="43" t="str">
        <f>IF([1]JEs!E253=0,"",[1]JEs!E253)</f>
        <v>Loan/Notes receivable</v>
      </c>
      <c r="G254" s="43" t="str">
        <f>IF([1]JEs!F253=0,"",[1]JEs!F253)</f>
        <v/>
      </c>
      <c r="H254" s="43">
        <f>IF([1]JEs!G253=0,"",[1]JEs!G253)</f>
        <v>36490.742353742906</v>
      </c>
      <c r="I254" s="43" t="str">
        <f>IF([1]JEs!H253=0,"",[1]JEs!H253)</f>
        <v>Apartment Construction Loan/Notes receivable adjustment - December 2024</v>
      </c>
      <c r="J254" s="43"/>
      <c r="K254" s="10" t="str">
        <f t="shared" si="16"/>
        <v>Loan/Notes receivable</v>
      </c>
      <c r="L254" s="96">
        <f t="shared" si="17"/>
        <v>-36490.742353742906</v>
      </c>
      <c r="M254" s="10" t="str">
        <f>VLOOKUP(K254,'Chart of Accounts'!$C:$D,2,0)</f>
        <v>Loan/Notes receivable</v>
      </c>
    </row>
    <row r="255" spans="2:13" outlineLevel="1" x14ac:dyDescent="0.25">
      <c r="B255" s="40">
        <f>+[1]JEs!B254</f>
        <v>45657</v>
      </c>
      <c r="C255" s="40">
        <f t="shared" si="18"/>
        <v>45657</v>
      </c>
      <c r="D255" s="40">
        <f t="shared" si="19"/>
        <v>45657</v>
      </c>
      <c r="E255" s="43" t="str">
        <f>IF([1]JEs!D254=0,"",[1]JEs!D254)</f>
        <v/>
      </c>
      <c r="F255" s="43" t="str">
        <f>IF([1]JEs!E254=0,"",[1]JEs!E254)</f>
        <v>Interest Income</v>
      </c>
      <c r="G255" s="43" t="str">
        <f>IF([1]JEs!F254=0,"",[1]JEs!F254)</f>
        <v/>
      </c>
      <c r="H255" s="43">
        <f>IF([1]JEs!G254=0,"",[1]JEs!G254)</f>
        <v>34879.047905333289</v>
      </c>
      <c r="I255" s="43" t="str">
        <f>IF([1]JEs!H254=0,"",[1]JEs!H254)</f>
        <v>Apartment Construction Loan Interest income earned for the period - December 2024</v>
      </c>
      <c r="J255" s="43"/>
      <c r="K255" s="10" t="str">
        <f t="shared" si="16"/>
        <v>Interest Income</v>
      </c>
      <c r="L255" s="96">
        <f t="shared" si="17"/>
        <v>-34879.047905333289</v>
      </c>
      <c r="M255" s="188" t="str">
        <f>VLOOKUP(K255,'Chart of Accounts'!$C:$D,2,0)</f>
        <v>Interest Income</v>
      </c>
    </row>
    <row r="256" spans="2:13" outlineLevel="1" x14ac:dyDescent="0.25">
      <c r="B256" s="40">
        <f>+[1]JEs!B255</f>
        <v>45657</v>
      </c>
      <c r="C256" s="40">
        <f t="shared" si="18"/>
        <v>45657</v>
      </c>
      <c r="D256" s="40">
        <f t="shared" si="19"/>
        <v>45657</v>
      </c>
      <c r="E256" s="43" t="str">
        <f>IF([1]JEs!D255=0,"",[1]JEs!D255)</f>
        <v>Investments, at fair value</v>
      </c>
      <c r="F256" s="43" t="str">
        <f>IF([1]JEs!E255=0,"",[1]JEs!E255)</f>
        <v/>
      </c>
      <c r="G256" s="43">
        <f>IF([1]JEs!F255=0,"",[1]JEs!F255)</f>
        <v>1000000</v>
      </c>
      <c r="H256" s="43" t="str">
        <f>IF([1]JEs!G255=0,"",[1]JEs!G255)</f>
        <v/>
      </c>
      <c r="I256" s="43" t="str">
        <f>IF([1]JEs!H255=0,"",[1]JEs!H255)</f>
        <v>Unrealized appreciation of E-commerce equity investment</v>
      </c>
      <c r="J256" s="43"/>
      <c r="K256" s="10" t="str">
        <f t="shared" si="16"/>
        <v>Investments, at fair value</v>
      </c>
      <c r="L256" s="96">
        <f t="shared" si="17"/>
        <v>1000000</v>
      </c>
      <c r="M256" s="10" t="str">
        <f>VLOOKUP(K256,'Chart of Accounts'!$C:$D,2,0)</f>
        <v>Investments, at fair value</v>
      </c>
    </row>
    <row r="257" spans="2:13" outlineLevel="1" x14ac:dyDescent="0.25">
      <c r="B257" s="40">
        <f>+[1]JEs!B256</f>
        <v>45657</v>
      </c>
      <c r="C257" s="40">
        <f t="shared" si="18"/>
        <v>45657</v>
      </c>
      <c r="D257" s="40">
        <f t="shared" si="19"/>
        <v>45657</v>
      </c>
      <c r="E257" s="43" t="str">
        <f>IF([1]JEs!D256=0,"",[1]JEs!D256)</f>
        <v/>
      </c>
      <c r="F257" s="43" t="str">
        <f>IF([1]JEs!E256=0,"",[1]JEs!E256)</f>
        <v>Unrealized Investment gains/losses</v>
      </c>
      <c r="G257" s="43" t="str">
        <f>IF([1]JEs!F256=0,"",[1]JEs!F256)</f>
        <v/>
      </c>
      <c r="H257" s="43">
        <f>IF([1]JEs!G256=0,"",[1]JEs!G256)</f>
        <v>1000000</v>
      </c>
      <c r="I257" s="43" t="str">
        <f>IF([1]JEs!H256=0,"",[1]JEs!H256)</f>
        <v>Recognition of unrealized gain on E-commerce equity investment as of year-end</v>
      </c>
      <c r="J257" s="43"/>
      <c r="K257" s="10" t="str">
        <f t="shared" si="16"/>
        <v>Unrealized Investment gains/losses</v>
      </c>
      <c r="L257" s="96">
        <f t="shared" si="17"/>
        <v>-1000000</v>
      </c>
      <c r="M257" s="10" t="str">
        <f>VLOOKUP(K257,'Chart of Accounts'!$C:$D,2,0)</f>
        <v>Unrealized Gains/Losses</v>
      </c>
    </row>
    <row r="258" spans="2:13" outlineLevel="1" x14ac:dyDescent="0.25">
      <c r="B258" s="40">
        <f>+[1]JEs!B257</f>
        <v>45322</v>
      </c>
      <c r="C258" s="40">
        <f t="shared" si="18"/>
        <v>45322</v>
      </c>
      <c r="D258" s="40">
        <f t="shared" si="19"/>
        <v>45382</v>
      </c>
      <c r="E258" s="43" t="str">
        <f>IF([1]JEs!D257=0,"",[1]JEs!D257)</f>
        <v>Management fee expense</v>
      </c>
      <c r="F258" s="43" t="str">
        <f>IF([1]JEs!E257=0,"",[1]JEs!E257)</f>
        <v/>
      </c>
      <c r="G258" s="43">
        <f>IF([1]JEs!F257=0,"",[1]JEs!F257)</f>
        <v>25000</v>
      </c>
      <c r="H258" s="43" t="str">
        <f>IF([1]JEs!G257=0,"",[1]JEs!G257)</f>
        <v/>
      </c>
      <c r="I258" s="43" t="str">
        <f>IF([1]JEs!H257=0,"",[1]JEs!H257)</f>
        <v>Management fee - January 2024</v>
      </c>
      <c r="J258" s="43"/>
      <c r="K258" s="10" t="str">
        <f t="shared" si="16"/>
        <v>Management fee expense</v>
      </c>
      <c r="L258" s="96">
        <f t="shared" si="17"/>
        <v>25000</v>
      </c>
      <c r="M258" s="10" t="str">
        <f>VLOOKUP(K258,'Chart of Accounts'!$C:$D,2,0)</f>
        <v>Management Fee</v>
      </c>
    </row>
    <row r="259" spans="2:13" outlineLevel="1" x14ac:dyDescent="0.25">
      <c r="B259" s="40">
        <f>+[1]JEs!B258</f>
        <v>45322</v>
      </c>
      <c r="C259" s="40">
        <f t="shared" si="18"/>
        <v>45322</v>
      </c>
      <c r="D259" s="40">
        <f t="shared" si="19"/>
        <v>45382</v>
      </c>
      <c r="E259" s="43" t="str">
        <f>IF([1]JEs!D258=0,"",[1]JEs!D258)</f>
        <v/>
      </c>
      <c r="F259" s="43" t="str">
        <f>IF([1]JEs!E258=0,"",[1]JEs!E258)</f>
        <v>Accrued management fee</v>
      </c>
      <c r="G259" s="43" t="str">
        <f>IF([1]JEs!F258=0,"",[1]JEs!F258)</f>
        <v/>
      </c>
      <c r="H259" s="43">
        <f>IF([1]JEs!G258=0,"",[1]JEs!G258)</f>
        <v>25000</v>
      </c>
      <c r="I259" s="43" t="str">
        <f>IF([1]JEs!H258=0,"",[1]JEs!H258)</f>
        <v>Accrued management fee - January 2024</v>
      </c>
      <c r="J259" s="43"/>
      <c r="K259" s="10" t="str">
        <f t="shared" si="16"/>
        <v>Accrued management fee</v>
      </c>
      <c r="L259" s="96">
        <f t="shared" si="17"/>
        <v>-25000</v>
      </c>
      <c r="M259" s="10" t="str">
        <f>VLOOKUP(K259,'Chart of Accounts'!$C:$D,2,0)</f>
        <v>Accrued expenses</v>
      </c>
    </row>
    <row r="260" spans="2:13" outlineLevel="1" x14ac:dyDescent="0.25">
      <c r="B260" s="40">
        <f>+[1]JEs!B259</f>
        <v>45351</v>
      </c>
      <c r="C260" s="40">
        <f t="shared" si="18"/>
        <v>45351</v>
      </c>
      <c r="D260" s="40">
        <f t="shared" si="19"/>
        <v>45382</v>
      </c>
      <c r="E260" s="43" t="str">
        <f>IF([1]JEs!D259=0,"",[1]JEs!D259)</f>
        <v>Management fee expense</v>
      </c>
      <c r="F260" s="43" t="str">
        <f>IF([1]JEs!E259=0,"",[1]JEs!E259)</f>
        <v/>
      </c>
      <c r="G260" s="43">
        <f>IF([1]JEs!F259=0,"",[1]JEs!F259)</f>
        <v>25000</v>
      </c>
      <c r="H260" s="43" t="str">
        <f>IF([1]JEs!G259=0,"",[1]JEs!G259)</f>
        <v/>
      </c>
      <c r="I260" s="43" t="str">
        <f>IF([1]JEs!H259=0,"",[1]JEs!H259)</f>
        <v>Management fee - February 2024</v>
      </c>
      <c r="J260" s="43"/>
      <c r="K260" s="10" t="str">
        <f t="shared" si="16"/>
        <v>Management fee expense</v>
      </c>
      <c r="L260" s="96">
        <f t="shared" si="17"/>
        <v>25000</v>
      </c>
      <c r="M260" s="10" t="str">
        <f>VLOOKUP(K260,'Chart of Accounts'!$C:$D,2,0)</f>
        <v>Management Fee</v>
      </c>
    </row>
    <row r="261" spans="2:13" outlineLevel="1" x14ac:dyDescent="0.25">
      <c r="B261" s="40">
        <f>+[1]JEs!B260</f>
        <v>45351</v>
      </c>
      <c r="C261" s="40">
        <f t="shared" si="18"/>
        <v>45351</v>
      </c>
      <c r="D261" s="40">
        <f t="shared" si="19"/>
        <v>45382</v>
      </c>
      <c r="E261" s="43" t="str">
        <f>IF([1]JEs!D260=0,"",[1]JEs!D260)</f>
        <v/>
      </c>
      <c r="F261" s="43" t="str">
        <f>IF([1]JEs!E260=0,"",[1]JEs!E260)</f>
        <v>Accrued management fee</v>
      </c>
      <c r="G261" s="43" t="str">
        <f>IF([1]JEs!F260=0,"",[1]JEs!F260)</f>
        <v/>
      </c>
      <c r="H261" s="43">
        <f>IF([1]JEs!G260=0,"",[1]JEs!G260)</f>
        <v>25000</v>
      </c>
      <c r="I261" s="43" t="str">
        <f>IF([1]JEs!H260=0,"",[1]JEs!H260)</f>
        <v>Accrued management fee - February 2024</v>
      </c>
      <c r="J261" s="43"/>
      <c r="K261" s="10" t="str">
        <f t="shared" si="16"/>
        <v>Accrued management fee</v>
      </c>
      <c r="L261" s="96">
        <f t="shared" si="17"/>
        <v>-25000</v>
      </c>
      <c r="M261" s="10" t="str">
        <f>VLOOKUP(K261,'Chart of Accounts'!$C:$D,2,0)</f>
        <v>Accrued expenses</v>
      </c>
    </row>
    <row r="262" spans="2:13" outlineLevel="1" x14ac:dyDescent="0.25">
      <c r="B262" s="40">
        <f>+[1]JEs!B261</f>
        <v>45382</v>
      </c>
      <c r="C262" s="40">
        <f t="shared" si="18"/>
        <v>45382</v>
      </c>
      <c r="D262" s="40">
        <f t="shared" si="19"/>
        <v>45382</v>
      </c>
      <c r="E262" s="43" t="str">
        <f>IF([1]JEs!D261=0,"",[1]JEs!D261)</f>
        <v>Management fee expense</v>
      </c>
      <c r="F262" s="43" t="str">
        <f>IF([1]JEs!E261=0,"",[1]JEs!E261)</f>
        <v/>
      </c>
      <c r="G262" s="43">
        <f>IF([1]JEs!F261=0,"",[1]JEs!F261)</f>
        <v>25000</v>
      </c>
      <c r="H262" s="43" t="str">
        <f>IF([1]JEs!G261=0,"",[1]JEs!G261)</f>
        <v/>
      </c>
      <c r="I262" s="43" t="str">
        <f>IF([1]JEs!H261=0,"",[1]JEs!H261)</f>
        <v>Management fee - March 2024</v>
      </c>
      <c r="J262" s="43"/>
      <c r="K262" s="10" t="str">
        <f t="shared" ref="K262:K285" si="20">TRIM(E262&amp;F262)</f>
        <v>Management fee expense</v>
      </c>
      <c r="L262" s="96">
        <f t="shared" ref="L262:L285" si="21">IF(G262="",-H262,G262)</f>
        <v>25000</v>
      </c>
      <c r="M262" s="10" t="str">
        <f>VLOOKUP(K262,'Chart of Accounts'!$C:$D,2,0)</f>
        <v>Management Fee</v>
      </c>
    </row>
    <row r="263" spans="2:13" outlineLevel="1" x14ac:dyDescent="0.25">
      <c r="B263" s="40">
        <f>+[1]JEs!B262</f>
        <v>45382</v>
      </c>
      <c r="C263" s="40">
        <f t="shared" si="18"/>
        <v>45382</v>
      </c>
      <c r="D263" s="40">
        <f t="shared" si="19"/>
        <v>45382</v>
      </c>
      <c r="E263" s="43" t="str">
        <f>IF([1]JEs!D262=0,"",[1]JEs!D262)</f>
        <v/>
      </c>
      <c r="F263" s="43" t="str">
        <f>IF([1]JEs!E262=0,"",[1]JEs!E262)</f>
        <v>Accrued management fee</v>
      </c>
      <c r="G263" s="43" t="str">
        <f>IF([1]JEs!F262=0,"",[1]JEs!F262)</f>
        <v/>
      </c>
      <c r="H263" s="43">
        <f>IF([1]JEs!G262=0,"",[1]JEs!G262)</f>
        <v>25000</v>
      </c>
      <c r="I263" s="43" t="str">
        <f>IF([1]JEs!H262=0,"",[1]JEs!H262)</f>
        <v>Accrued management fee - March 2024</v>
      </c>
      <c r="J263" s="43"/>
      <c r="K263" s="10" t="str">
        <f t="shared" si="20"/>
        <v>Accrued management fee</v>
      </c>
      <c r="L263" s="96">
        <f t="shared" si="21"/>
        <v>-25000</v>
      </c>
      <c r="M263" s="10" t="str">
        <f>VLOOKUP(K263,'Chart of Accounts'!$C:$D,2,0)</f>
        <v>Accrued expenses</v>
      </c>
    </row>
    <row r="264" spans="2:13" outlineLevel="1" x14ac:dyDescent="0.25">
      <c r="B264" s="40">
        <f>+[1]JEs!B263</f>
        <v>45412</v>
      </c>
      <c r="C264" s="40">
        <f t="shared" si="18"/>
        <v>45412</v>
      </c>
      <c r="D264" s="40">
        <f t="shared" si="19"/>
        <v>45473</v>
      </c>
      <c r="E264" s="43" t="str">
        <f>IF([1]JEs!D263=0,"",[1]JEs!D263)</f>
        <v>Management fee expense</v>
      </c>
      <c r="F264" s="43" t="str">
        <f>IF([1]JEs!E263=0,"",[1]JEs!E263)</f>
        <v/>
      </c>
      <c r="G264" s="43">
        <f>IF([1]JEs!F263=0,"",[1]JEs!F263)</f>
        <v>25000</v>
      </c>
      <c r="H264" s="43" t="str">
        <f>IF([1]JEs!G263=0,"",[1]JEs!G263)</f>
        <v/>
      </c>
      <c r="I264" s="43" t="str">
        <f>IF([1]JEs!H263=0,"",[1]JEs!H263)</f>
        <v>Management fee - April 2024</v>
      </c>
      <c r="J264" s="43"/>
      <c r="K264" s="10" t="str">
        <f t="shared" si="20"/>
        <v>Management fee expense</v>
      </c>
      <c r="L264" s="96">
        <f t="shared" si="21"/>
        <v>25000</v>
      </c>
      <c r="M264" s="10" t="str">
        <f>VLOOKUP(K264,'Chart of Accounts'!$C:$D,2,0)</f>
        <v>Management Fee</v>
      </c>
    </row>
    <row r="265" spans="2:13" outlineLevel="1" x14ac:dyDescent="0.25">
      <c r="B265" s="40">
        <f>+[1]JEs!B264</f>
        <v>45412</v>
      </c>
      <c r="C265" s="40">
        <f t="shared" si="18"/>
        <v>45412</v>
      </c>
      <c r="D265" s="40">
        <f t="shared" si="19"/>
        <v>45473</v>
      </c>
      <c r="E265" s="43" t="str">
        <f>IF([1]JEs!D264=0,"",[1]JEs!D264)</f>
        <v/>
      </c>
      <c r="F265" s="43" t="str">
        <f>IF([1]JEs!E264=0,"",[1]JEs!E264)</f>
        <v>Accrued management fee</v>
      </c>
      <c r="G265" s="43" t="str">
        <f>IF([1]JEs!F264=0,"",[1]JEs!F264)</f>
        <v/>
      </c>
      <c r="H265" s="43">
        <f>IF([1]JEs!G264=0,"",[1]JEs!G264)</f>
        <v>25000</v>
      </c>
      <c r="I265" s="43" t="str">
        <f>IF([1]JEs!H264=0,"",[1]JEs!H264)</f>
        <v>Accrued management fee - April 2024</v>
      </c>
      <c r="J265" s="43"/>
      <c r="K265" s="10" t="str">
        <f t="shared" si="20"/>
        <v>Accrued management fee</v>
      </c>
      <c r="L265" s="96">
        <f t="shared" si="21"/>
        <v>-25000</v>
      </c>
      <c r="M265" s="10" t="str">
        <f>VLOOKUP(K265,'Chart of Accounts'!$C:$D,2,0)</f>
        <v>Accrued expenses</v>
      </c>
    </row>
    <row r="266" spans="2:13" outlineLevel="1" x14ac:dyDescent="0.25">
      <c r="B266" s="40">
        <f>+[1]JEs!B265</f>
        <v>45443</v>
      </c>
      <c r="C266" s="40">
        <f t="shared" si="18"/>
        <v>45443</v>
      </c>
      <c r="D266" s="40">
        <f t="shared" si="19"/>
        <v>45473</v>
      </c>
      <c r="E266" s="43" t="str">
        <f>IF([1]JEs!D265=0,"",[1]JEs!D265)</f>
        <v>Management fee expense</v>
      </c>
      <c r="F266" s="43" t="str">
        <f>IF([1]JEs!E265=0,"",[1]JEs!E265)</f>
        <v/>
      </c>
      <c r="G266" s="43">
        <f>IF([1]JEs!F265=0,"",[1]JEs!F265)</f>
        <v>25000</v>
      </c>
      <c r="H266" s="43" t="str">
        <f>IF([1]JEs!G265=0,"",[1]JEs!G265)</f>
        <v/>
      </c>
      <c r="I266" s="43" t="str">
        <f>IF([1]JEs!H265=0,"",[1]JEs!H265)</f>
        <v>Management fee - May 2024</v>
      </c>
      <c r="J266" s="43"/>
      <c r="K266" s="10" t="str">
        <f t="shared" si="20"/>
        <v>Management fee expense</v>
      </c>
      <c r="L266" s="96">
        <f t="shared" si="21"/>
        <v>25000</v>
      </c>
      <c r="M266" s="10" t="str">
        <f>VLOOKUP(K266,'Chart of Accounts'!$C:$D,2,0)</f>
        <v>Management Fee</v>
      </c>
    </row>
    <row r="267" spans="2:13" outlineLevel="1" x14ac:dyDescent="0.25">
      <c r="B267" s="40">
        <f>+[1]JEs!B266</f>
        <v>45443</v>
      </c>
      <c r="C267" s="40">
        <f t="shared" si="18"/>
        <v>45443</v>
      </c>
      <c r="D267" s="40">
        <f t="shared" si="19"/>
        <v>45473</v>
      </c>
      <c r="E267" s="43" t="str">
        <f>IF([1]JEs!D266=0,"",[1]JEs!D266)</f>
        <v/>
      </c>
      <c r="F267" s="43" t="str">
        <f>IF([1]JEs!E266=0,"",[1]JEs!E266)</f>
        <v>Accrued management fee</v>
      </c>
      <c r="G267" s="43" t="str">
        <f>IF([1]JEs!F266=0,"",[1]JEs!F266)</f>
        <v/>
      </c>
      <c r="H267" s="43">
        <f>IF([1]JEs!G266=0,"",[1]JEs!G266)</f>
        <v>25000</v>
      </c>
      <c r="I267" s="43" t="str">
        <f>IF([1]JEs!H266=0,"",[1]JEs!H266)</f>
        <v>Accrued management fee - May 2024</v>
      </c>
      <c r="J267" s="43"/>
      <c r="K267" s="10" t="str">
        <f t="shared" si="20"/>
        <v>Accrued management fee</v>
      </c>
      <c r="L267" s="96">
        <f t="shared" si="21"/>
        <v>-25000</v>
      </c>
      <c r="M267" s="10" t="str">
        <f>VLOOKUP(K267,'Chart of Accounts'!$C:$D,2,0)</f>
        <v>Accrued expenses</v>
      </c>
    </row>
    <row r="268" spans="2:13" outlineLevel="1" x14ac:dyDescent="0.25">
      <c r="B268" s="40">
        <f>+[1]JEs!B267</f>
        <v>45473</v>
      </c>
      <c r="C268" s="40">
        <f t="shared" si="18"/>
        <v>45473</v>
      </c>
      <c r="D268" s="40">
        <f t="shared" si="19"/>
        <v>45473</v>
      </c>
      <c r="E268" s="43" t="str">
        <f>IF([1]JEs!D267=0,"",[1]JEs!D267)</f>
        <v>Management fee expense</v>
      </c>
      <c r="F268" s="43" t="str">
        <f>IF([1]JEs!E267=0,"",[1]JEs!E267)</f>
        <v/>
      </c>
      <c r="G268" s="43">
        <f>IF([1]JEs!F267=0,"",[1]JEs!F267)</f>
        <v>25000</v>
      </c>
      <c r="H268" s="43" t="str">
        <f>IF([1]JEs!G267=0,"",[1]JEs!G267)</f>
        <v/>
      </c>
      <c r="I268" s="43" t="str">
        <f>IF([1]JEs!H267=0,"",[1]JEs!H267)</f>
        <v>Management fee - June 2024</v>
      </c>
      <c r="J268" s="43"/>
      <c r="K268" s="10" t="str">
        <f t="shared" si="20"/>
        <v>Management fee expense</v>
      </c>
      <c r="L268" s="96">
        <f t="shared" si="21"/>
        <v>25000</v>
      </c>
      <c r="M268" s="10" t="str">
        <f>VLOOKUP(K268,'Chart of Accounts'!$C:$D,2,0)</f>
        <v>Management Fee</v>
      </c>
    </row>
    <row r="269" spans="2:13" outlineLevel="1" x14ac:dyDescent="0.25">
      <c r="B269" s="40">
        <f>+[1]JEs!B268</f>
        <v>45473</v>
      </c>
      <c r="C269" s="40">
        <f t="shared" si="18"/>
        <v>45473</v>
      </c>
      <c r="D269" s="40">
        <f t="shared" si="19"/>
        <v>45473</v>
      </c>
      <c r="E269" s="43" t="str">
        <f>IF([1]JEs!D268=0,"",[1]JEs!D268)</f>
        <v/>
      </c>
      <c r="F269" s="43" t="str">
        <f>IF([1]JEs!E268=0,"",[1]JEs!E268)</f>
        <v>Accrued management fee</v>
      </c>
      <c r="G269" s="43" t="str">
        <f>IF([1]JEs!F268=0,"",[1]JEs!F268)</f>
        <v/>
      </c>
      <c r="H269" s="43">
        <f>IF([1]JEs!G268=0,"",[1]JEs!G268)</f>
        <v>25000</v>
      </c>
      <c r="I269" s="43" t="str">
        <f>IF([1]JEs!H268=0,"",[1]JEs!H268)</f>
        <v>Accrued management fee - June 2024</v>
      </c>
      <c r="J269" s="43"/>
      <c r="K269" s="10" t="str">
        <f t="shared" si="20"/>
        <v>Accrued management fee</v>
      </c>
      <c r="L269" s="96">
        <f t="shared" si="21"/>
        <v>-25000</v>
      </c>
      <c r="M269" s="10" t="str">
        <f>VLOOKUP(K269,'Chart of Accounts'!$C:$D,2,0)</f>
        <v>Accrued expenses</v>
      </c>
    </row>
    <row r="270" spans="2:13" outlineLevel="1" x14ac:dyDescent="0.25">
      <c r="B270" s="40">
        <f>+[1]JEs!B269</f>
        <v>45504</v>
      </c>
      <c r="C270" s="40">
        <f t="shared" si="18"/>
        <v>45504</v>
      </c>
      <c r="D270" s="40">
        <f t="shared" si="19"/>
        <v>45565</v>
      </c>
      <c r="E270" s="43" t="str">
        <f>IF([1]JEs!D269=0,"",[1]JEs!D269)</f>
        <v>Management fee expense</v>
      </c>
      <c r="F270" s="43" t="str">
        <f>IF([1]JEs!E269=0,"",[1]JEs!E269)</f>
        <v/>
      </c>
      <c r="G270" s="43">
        <f>IF([1]JEs!F269=0,"",[1]JEs!F269)</f>
        <v>25000</v>
      </c>
      <c r="H270" s="43" t="str">
        <f>IF([1]JEs!G269=0,"",[1]JEs!G269)</f>
        <v/>
      </c>
      <c r="I270" s="43" t="str">
        <f>IF([1]JEs!H269=0,"",[1]JEs!H269)</f>
        <v>Management fee - July 2024</v>
      </c>
      <c r="J270" s="43"/>
      <c r="K270" s="10" t="str">
        <f t="shared" si="20"/>
        <v>Management fee expense</v>
      </c>
      <c r="L270" s="96">
        <f t="shared" si="21"/>
        <v>25000</v>
      </c>
      <c r="M270" s="10" t="str">
        <f>VLOOKUP(K270,'Chart of Accounts'!$C:$D,2,0)</f>
        <v>Management Fee</v>
      </c>
    </row>
    <row r="271" spans="2:13" outlineLevel="1" x14ac:dyDescent="0.25">
      <c r="B271" s="40">
        <f>+[1]JEs!B270</f>
        <v>45504</v>
      </c>
      <c r="C271" s="40">
        <f t="shared" si="18"/>
        <v>45504</v>
      </c>
      <c r="D271" s="40">
        <f t="shared" si="19"/>
        <v>45565</v>
      </c>
      <c r="E271" s="43" t="str">
        <f>IF([1]JEs!D270=0,"",[1]JEs!D270)</f>
        <v/>
      </c>
      <c r="F271" s="43" t="str">
        <f>IF([1]JEs!E270=0,"",[1]JEs!E270)</f>
        <v>Accrued management fee</v>
      </c>
      <c r="G271" s="43" t="str">
        <f>IF([1]JEs!F270=0,"",[1]JEs!F270)</f>
        <v/>
      </c>
      <c r="H271" s="43">
        <f>IF([1]JEs!G270=0,"",[1]JEs!G270)</f>
        <v>25000</v>
      </c>
      <c r="I271" s="43" t="str">
        <f>IF([1]JEs!H270=0,"",[1]JEs!H270)</f>
        <v>Accrued management fee - July 2024</v>
      </c>
      <c r="J271" s="43"/>
      <c r="K271" s="10" t="str">
        <f t="shared" si="20"/>
        <v>Accrued management fee</v>
      </c>
      <c r="L271" s="96">
        <f t="shared" si="21"/>
        <v>-25000</v>
      </c>
      <c r="M271" s="10" t="str">
        <f>VLOOKUP(K271,'Chart of Accounts'!$C:$D,2,0)</f>
        <v>Accrued expenses</v>
      </c>
    </row>
    <row r="272" spans="2:13" outlineLevel="1" x14ac:dyDescent="0.25">
      <c r="B272" s="40">
        <f>+[1]JEs!B271</f>
        <v>45535</v>
      </c>
      <c r="C272" s="40">
        <f t="shared" si="18"/>
        <v>45535</v>
      </c>
      <c r="D272" s="40">
        <f t="shared" si="19"/>
        <v>45565</v>
      </c>
      <c r="E272" s="43" t="str">
        <f>IF([1]JEs!D271=0,"",[1]JEs!D271)</f>
        <v>Management fee expense</v>
      </c>
      <c r="F272" s="43" t="str">
        <f>IF([1]JEs!E271=0,"",[1]JEs!E271)</f>
        <v/>
      </c>
      <c r="G272" s="43">
        <f>IF([1]JEs!F271=0,"",[1]JEs!F271)</f>
        <v>25000</v>
      </c>
      <c r="H272" s="43" t="str">
        <f>IF([1]JEs!G271=0,"",[1]JEs!G271)</f>
        <v/>
      </c>
      <c r="I272" s="43" t="str">
        <f>IF([1]JEs!H271=0,"",[1]JEs!H271)</f>
        <v>Management fee - August 2024</v>
      </c>
      <c r="J272" s="43"/>
      <c r="K272" s="10" t="str">
        <f t="shared" si="20"/>
        <v>Management fee expense</v>
      </c>
      <c r="L272" s="96">
        <f t="shared" si="21"/>
        <v>25000</v>
      </c>
      <c r="M272" s="10" t="str">
        <f>VLOOKUP(K272,'Chart of Accounts'!$C:$D,2,0)</f>
        <v>Management Fee</v>
      </c>
    </row>
    <row r="273" spans="2:13" outlineLevel="1" x14ac:dyDescent="0.25">
      <c r="B273" s="40">
        <f>+[1]JEs!B272</f>
        <v>45535</v>
      </c>
      <c r="C273" s="40">
        <f t="shared" si="18"/>
        <v>45535</v>
      </c>
      <c r="D273" s="40">
        <f t="shared" si="19"/>
        <v>45565</v>
      </c>
      <c r="E273" s="43" t="str">
        <f>IF([1]JEs!D272=0,"",[1]JEs!D272)</f>
        <v/>
      </c>
      <c r="F273" s="43" t="str">
        <f>IF([1]JEs!E272=0,"",[1]JEs!E272)</f>
        <v>Accrued management fee</v>
      </c>
      <c r="G273" s="43" t="str">
        <f>IF([1]JEs!F272=0,"",[1]JEs!F272)</f>
        <v/>
      </c>
      <c r="H273" s="43">
        <f>IF([1]JEs!G272=0,"",[1]JEs!G272)</f>
        <v>25000</v>
      </c>
      <c r="I273" s="43" t="str">
        <f>IF([1]JEs!H272=0,"",[1]JEs!H272)</f>
        <v>Accrued management fee - August 2024</v>
      </c>
      <c r="J273" s="43"/>
      <c r="K273" s="10" t="str">
        <f t="shared" si="20"/>
        <v>Accrued management fee</v>
      </c>
      <c r="L273" s="96">
        <f t="shared" si="21"/>
        <v>-25000</v>
      </c>
      <c r="M273" s="10" t="str">
        <f>VLOOKUP(K273,'Chart of Accounts'!$C:$D,2,0)</f>
        <v>Accrued expenses</v>
      </c>
    </row>
    <row r="274" spans="2:13" outlineLevel="1" x14ac:dyDescent="0.25">
      <c r="B274" s="40">
        <f>+[1]JEs!B273</f>
        <v>45565</v>
      </c>
      <c r="C274" s="40">
        <f t="shared" si="18"/>
        <v>45565</v>
      </c>
      <c r="D274" s="40">
        <f t="shared" si="19"/>
        <v>45565</v>
      </c>
      <c r="E274" s="43" t="str">
        <f>IF([1]JEs!D273=0,"",[1]JEs!D273)</f>
        <v>Management fee expense</v>
      </c>
      <c r="F274" s="43" t="str">
        <f>IF([1]JEs!E273=0,"",[1]JEs!E273)</f>
        <v/>
      </c>
      <c r="G274" s="43">
        <f>IF([1]JEs!F273=0,"",[1]JEs!F273)</f>
        <v>25000</v>
      </c>
      <c r="H274" s="43" t="str">
        <f>IF([1]JEs!G273=0,"",[1]JEs!G273)</f>
        <v/>
      </c>
      <c r="I274" s="43" t="str">
        <f>IF([1]JEs!H273=0,"",[1]JEs!H273)</f>
        <v>Management fee - September 2024</v>
      </c>
      <c r="J274" s="43"/>
      <c r="K274" s="10" t="str">
        <f t="shared" si="20"/>
        <v>Management fee expense</v>
      </c>
      <c r="L274" s="96">
        <f t="shared" si="21"/>
        <v>25000</v>
      </c>
      <c r="M274" s="10" t="str">
        <f>VLOOKUP(K274,'Chart of Accounts'!$C:$D,2,0)</f>
        <v>Management Fee</v>
      </c>
    </row>
    <row r="275" spans="2:13" outlineLevel="1" x14ac:dyDescent="0.25">
      <c r="B275" s="40">
        <f>+[1]JEs!B274</f>
        <v>45565</v>
      </c>
      <c r="C275" s="40">
        <f t="shared" si="18"/>
        <v>45565</v>
      </c>
      <c r="D275" s="40">
        <f t="shared" si="19"/>
        <v>45565</v>
      </c>
      <c r="E275" s="43" t="str">
        <f>IF([1]JEs!D274=0,"",[1]JEs!D274)</f>
        <v/>
      </c>
      <c r="F275" s="43" t="str">
        <f>IF([1]JEs!E274=0,"",[1]JEs!E274)</f>
        <v>Accrued management fee</v>
      </c>
      <c r="G275" s="43" t="str">
        <f>IF([1]JEs!F274=0,"",[1]JEs!F274)</f>
        <v/>
      </c>
      <c r="H275" s="43">
        <f>IF([1]JEs!G274=0,"",[1]JEs!G274)</f>
        <v>25000</v>
      </c>
      <c r="I275" s="43" t="str">
        <f>IF([1]JEs!H274=0,"",[1]JEs!H274)</f>
        <v>Accrued management fee - September 2024</v>
      </c>
      <c r="J275" s="43"/>
      <c r="K275" s="10" t="str">
        <f t="shared" si="20"/>
        <v>Accrued management fee</v>
      </c>
      <c r="L275" s="96">
        <f t="shared" si="21"/>
        <v>-25000</v>
      </c>
      <c r="M275" s="10" t="str">
        <f>VLOOKUP(K275,'Chart of Accounts'!$C:$D,2,0)</f>
        <v>Accrued expenses</v>
      </c>
    </row>
    <row r="276" spans="2:13" outlineLevel="1" x14ac:dyDescent="0.25">
      <c r="B276" s="40">
        <f>+[1]JEs!B275</f>
        <v>45596</v>
      </c>
      <c r="C276" s="40">
        <f t="shared" si="18"/>
        <v>45596</v>
      </c>
      <c r="D276" s="40">
        <f t="shared" si="19"/>
        <v>45657</v>
      </c>
      <c r="E276" s="43" t="str">
        <f>IF([1]JEs!D275=0,"",[1]JEs!D275)</f>
        <v>Management fee expense</v>
      </c>
      <c r="F276" s="43" t="str">
        <f>IF([1]JEs!E275=0,"",[1]JEs!E275)</f>
        <v/>
      </c>
      <c r="G276" s="43">
        <f>IF([1]JEs!F275=0,"",[1]JEs!F275)</f>
        <v>25000</v>
      </c>
      <c r="H276" s="43" t="str">
        <f>IF([1]JEs!G275=0,"",[1]JEs!G275)</f>
        <v/>
      </c>
      <c r="I276" s="43" t="str">
        <f>IF([1]JEs!H275=0,"",[1]JEs!H275)</f>
        <v>Management fee - October 2024</v>
      </c>
      <c r="J276" s="43"/>
      <c r="K276" s="10" t="str">
        <f t="shared" si="20"/>
        <v>Management fee expense</v>
      </c>
      <c r="L276" s="96">
        <f t="shared" si="21"/>
        <v>25000</v>
      </c>
      <c r="M276" s="10" t="str">
        <f>VLOOKUP(K276,'Chart of Accounts'!$C:$D,2,0)</f>
        <v>Management Fee</v>
      </c>
    </row>
    <row r="277" spans="2:13" outlineLevel="1" x14ac:dyDescent="0.25">
      <c r="B277" s="40">
        <f>+[1]JEs!B276</f>
        <v>45596</v>
      </c>
      <c r="C277" s="40">
        <f t="shared" si="18"/>
        <v>45596</v>
      </c>
      <c r="D277" s="40">
        <f t="shared" si="19"/>
        <v>45657</v>
      </c>
      <c r="E277" s="43" t="str">
        <f>IF([1]JEs!D276=0,"",[1]JEs!D276)</f>
        <v/>
      </c>
      <c r="F277" s="43" t="str">
        <f>IF([1]JEs!E276=0,"",[1]JEs!E276)</f>
        <v>Accrued management fee</v>
      </c>
      <c r="G277" s="43" t="str">
        <f>IF([1]JEs!F276=0,"",[1]JEs!F276)</f>
        <v/>
      </c>
      <c r="H277" s="43">
        <f>IF([1]JEs!G276=0,"",[1]JEs!G276)</f>
        <v>25000</v>
      </c>
      <c r="I277" s="43" t="str">
        <f>IF([1]JEs!H276=0,"",[1]JEs!H276)</f>
        <v>Accrued management fee - October 2024</v>
      </c>
      <c r="J277" s="43"/>
      <c r="K277" s="10" t="str">
        <f t="shared" si="20"/>
        <v>Accrued management fee</v>
      </c>
      <c r="L277" s="96">
        <f t="shared" si="21"/>
        <v>-25000</v>
      </c>
      <c r="M277" s="10" t="str">
        <f>VLOOKUP(K277,'Chart of Accounts'!$C:$D,2,0)</f>
        <v>Accrued expenses</v>
      </c>
    </row>
    <row r="278" spans="2:13" outlineLevel="1" x14ac:dyDescent="0.25">
      <c r="B278" s="40">
        <f>+[1]JEs!B277</f>
        <v>45626</v>
      </c>
      <c r="C278" s="40">
        <f t="shared" si="18"/>
        <v>45626</v>
      </c>
      <c r="D278" s="40">
        <f t="shared" si="19"/>
        <v>45657</v>
      </c>
      <c r="E278" s="43" t="str">
        <f>IF([1]JEs!D277=0,"",[1]JEs!D277)</f>
        <v>Management fee expense</v>
      </c>
      <c r="F278" s="43" t="str">
        <f>IF([1]JEs!E277=0,"",[1]JEs!E277)</f>
        <v/>
      </c>
      <c r="G278" s="43">
        <f>IF([1]JEs!F277=0,"",[1]JEs!F277)</f>
        <v>25000</v>
      </c>
      <c r="H278" s="43" t="str">
        <f>IF([1]JEs!G277=0,"",[1]JEs!G277)</f>
        <v/>
      </c>
      <c r="I278" s="43" t="str">
        <f>IF([1]JEs!H277=0,"",[1]JEs!H277)</f>
        <v>Management fee - November 2024</v>
      </c>
      <c r="J278" s="43"/>
      <c r="K278" s="10" t="str">
        <f t="shared" si="20"/>
        <v>Management fee expense</v>
      </c>
      <c r="L278" s="96">
        <f t="shared" si="21"/>
        <v>25000</v>
      </c>
      <c r="M278" s="10" t="str">
        <f>VLOOKUP(K278,'Chart of Accounts'!$C:$D,2,0)</f>
        <v>Management Fee</v>
      </c>
    </row>
    <row r="279" spans="2:13" outlineLevel="1" x14ac:dyDescent="0.25">
      <c r="B279" s="40">
        <f>+[1]JEs!B278</f>
        <v>45626</v>
      </c>
      <c r="C279" s="40">
        <f t="shared" si="18"/>
        <v>45626</v>
      </c>
      <c r="D279" s="40">
        <f t="shared" si="19"/>
        <v>45657</v>
      </c>
      <c r="E279" s="43" t="str">
        <f>IF([1]JEs!D278=0,"",[1]JEs!D278)</f>
        <v/>
      </c>
      <c r="F279" s="43" t="str">
        <f>IF([1]JEs!E278=0,"",[1]JEs!E278)</f>
        <v>Accrued management fee</v>
      </c>
      <c r="G279" s="43" t="str">
        <f>IF([1]JEs!F278=0,"",[1]JEs!F278)</f>
        <v/>
      </c>
      <c r="H279" s="43">
        <f>IF([1]JEs!G278=0,"",[1]JEs!G278)</f>
        <v>25000</v>
      </c>
      <c r="I279" s="43" t="str">
        <f>IF([1]JEs!H278=0,"",[1]JEs!H278)</f>
        <v>Accrued management fee - November 2024</v>
      </c>
      <c r="J279" s="43"/>
      <c r="K279" s="10" t="str">
        <f t="shared" si="20"/>
        <v>Accrued management fee</v>
      </c>
      <c r="L279" s="96">
        <f t="shared" si="21"/>
        <v>-25000</v>
      </c>
      <c r="M279" s="10" t="str">
        <f>VLOOKUP(K279,'Chart of Accounts'!$C:$D,2,0)</f>
        <v>Accrued expenses</v>
      </c>
    </row>
    <row r="280" spans="2:13" outlineLevel="1" x14ac:dyDescent="0.25">
      <c r="B280" s="40">
        <f>+[1]JEs!B279</f>
        <v>45657</v>
      </c>
      <c r="C280" s="40">
        <f t="shared" si="18"/>
        <v>45657</v>
      </c>
      <c r="D280" s="40">
        <f t="shared" si="19"/>
        <v>45657</v>
      </c>
      <c r="E280" s="43" t="str">
        <f>IF([1]JEs!D279=0,"",[1]JEs!D279)</f>
        <v>Management fee expense</v>
      </c>
      <c r="F280" s="43" t="str">
        <f>IF([1]JEs!E279=0,"",[1]JEs!E279)</f>
        <v/>
      </c>
      <c r="G280" s="43">
        <f>IF([1]JEs!F279=0,"",[1]JEs!F279)</f>
        <v>25000</v>
      </c>
      <c r="H280" s="43" t="str">
        <f>IF([1]JEs!G279=0,"",[1]JEs!G279)</f>
        <v/>
      </c>
      <c r="I280" s="43" t="str">
        <f>IF([1]JEs!H279=0,"",[1]JEs!H279)</f>
        <v>Management fee - December 2024</v>
      </c>
      <c r="J280" s="43"/>
      <c r="K280" s="10" t="str">
        <f t="shared" si="20"/>
        <v>Management fee expense</v>
      </c>
      <c r="L280" s="96">
        <f t="shared" si="21"/>
        <v>25000</v>
      </c>
      <c r="M280" s="10" t="str">
        <f>VLOOKUP(K280,'Chart of Accounts'!$C:$D,2,0)</f>
        <v>Management Fee</v>
      </c>
    </row>
    <row r="281" spans="2:13" outlineLevel="1" x14ac:dyDescent="0.25">
      <c r="B281" s="40">
        <f>+[1]JEs!B280</f>
        <v>45657</v>
      </c>
      <c r="C281" s="40">
        <f t="shared" si="18"/>
        <v>45657</v>
      </c>
      <c r="D281" s="40">
        <f t="shared" si="19"/>
        <v>45657</v>
      </c>
      <c r="E281" s="43" t="str">
        <f>IF([1]JEs!D280=0,"",[1]JEs!D280)</f>
        <v/>
      </c>
      <c r="F281" s="43" t="str">
        <f>IF([1]JEs!E280=0,"",[1]JEs!E280)</f>
        <v>Accrued management fee</v>
      </c>
      <c r="G281" s="43" t="str">
        <f>IF([1]JEs!F280=0,"",[1]JEs!F280)</f>
        <v/>
      </c>
      <c r="H281" s="43">
        <f>IF([1]JEs!G280=0,"",[1]JEs!G280)</f>
        <v>25000</v>
      </c>
      <c r="I281" s="43" t="str">
        <f>IF([1]JEs!H280=0,"",[1]JEs!H280)</f>
        <v>Accrued management fee - December 2024</v>
      </c>
      <c r="J281" s="43"/>
      <c r="K281" s="10" t="str">
        <f t="shared" si="20"/>
        <v>Accrued management fee</v>
      </c>
      <c r="L281" s="96">
        <f t="shared" si="21"/>
        <v>-25000</v>
      </c>
      <c r="M281" s="10" t="str">
        <f>VLOOKUP(K281,'Chart of Accounts'!$C:$D,2,0)</f>
        <v>Accrued expenses</v>
      </c>
    </row>
    <row r="282" spans="2:13" outlineLevel="1" x14ac:dyDescent="0.25">
      <c r="B282" s="40">
        <f>+[1]JEs!B281</f>
        <v>45382</v>
      </c>
      <c r="C282" s="40">
        <f t="shared" si="18"/>
        <v>45382</v>
      </c>
      <c r="D282" s="40">
        <f t="shared" si="19"/>
        <v>45382</v>
      </c>
      <c r="E282" s="43" t="str">
        <f>IF([1]JEs!D281=0,"",[1]JEs!D281)</f>
        <v>Accrued management fee</v>
      </c>
      <c r="F282" s="43" t="str">
        <f>IF([1]JEs!E281=0,"",[1]JEs!E281)</f>
        <v/>
      </c>
      <c r="G282" s="43">
        <f>IF([1]JEs!F281=0,"",[1]JEs!F281)</f>
        <v>75000</v>
      </c>
      <c r="H282" s="43" t="str">
        <f>IF([1]JEs!G281=0,"",[1]JEs!G281)</f>
        <v/>
      </c>
      <c r="I282" s="43" t="str">
        <f>IF([1]JEs!H281=0,"",[1]JEs!H281)</f>
        <v>1Q 2024 management fees</v>
      </c>
      <c r="J282" s="43"/>
      <c r="K282" s="10" t="str">
        <f t="shared" si="20"/>
        <v>Accrued management fee</v>
      </c>
      <c r="L282" s="96">
        <f t="shared" si="21"/>
        <v>75000</v>
      </c>
      <c r="M282" s="10" t="str">
        <f>VLOOKUP(K282,'Chart of Accounts'!$C:$D,2,0)</f>
        <v>Accrued expenses</v>
      </c>
    </row>
    <row r="283" spans="2:13" outlineLevel="1" x14ac:dyDescent="0.25">
      <c r="B283" s="40">
        <f>+[1]JEs!B282</f>
        <v>45382</v>
      </c>
      <c r="C283" s="40">
        <f t="shared" si="18"/>
        <v>45382</v>
      </c>
      <c r="D283" s="40">
        <f t="shared" si="19"/>
        <v>45382</v>
      </c>
      <c r="E283" s="43" t="str">
        <f>IF([1]JEs!D282=0,"",[1]JEs!D282)</f>
        <v/>
      </c>
      <c r="F283" s="43" t="str">
        <f>IF([1]JEs!E282=0,"",[1]JEs!E282)</f>
        <v>Cash and cash equivalents</v>
      </c>
      <c r="G283" s="43" t="str">
        <f>IF([1]JEs!F282=0,"",[1]JEs!F282)</f>
        <v/>
      </c>
      <c r="H283" s="43">
        <f>IF([1]JEs!G282=0,"",[1]JEs!G282)</f>
        <v>75000</v>
      </c>
      <c r="I283" s="43" t="str">
        <f>IF([1]JEs!H282=0,"",[1]JEs!H282)</f>
        <v>Payment of 1Q 2024 management fees</v>
      </c>
      <c r="J283" s="43"/>
      <c r="K283" s="10" t="str">
        <f t="shared" si="20"/>
        <v>Cash and cash equivalents</v>
      </c>
      <c r="L283" s="96">
        <f t="shared" si="21"/>
        <v>-75000</v>
      </c>
      <c r="M283" s="10" t="str">
        <f>VLOOKUP(K283,'Chart of Accounts'!$C:$D,2,0)</f>
        <v>Cash and equivalents</v>
      </c>
    </row>
    <row r="284" spans="2:13" outlineLevel="1" x14ac:dyDescent="0.25">
      <c r="B284" s="40">
        <f>+[1]JEs!B283</f>
        <v>45473</v>
      </c>
      <c r="C284" s="40">
        <f t="shared" si="18"/>
        <v>45473</v>
      </c>
      <c r="D284" s="40">
        <f t="shared" si="19"/>
        <v>45473</v>
      </c>
      <c r="E284" s="43" t="str">
        <f>IF([1]JEs!D283=0,"",[1]JEs!D283)</f>
        <v>Accrued management fee</v>
      </c>
      <c r="F284" s="43" t="str">
        <f>IF([1]JEs!E283=0,"",[1]JEs!E283)</f>
        <v/>
      </c>
      <c r="G284" s="43">
        <f>IF([1]JEs!F283=0,"",[1]JEs!F283)</f>
        <v>75000</v>
      </c>
      <c r="H284" s="43" t="str">
        <f>IF([1]JEs!G283=0,"",[1]JEs!G283)</f>
        <v/>
      </c>
      <c r="I284" s="43" t="str">
        <f>IF([1]JEs!H283=0,"",[1]JEs!H283)</f>
        <v>2Q 2024 management fees</v>
      </c>
      <c r="J284" s="43"/>
      <c r="K284" s="10" t="str">
        <f t="shared" si="20"/>
        <v>Accrued management fee</v>
      </c>
      <c r="L284" s="96">
        <f t="shared" si="21"/>
        <v>75000</v>
      </c>
      <c r="M284" s="10" t="str">
        <f>VLOOKUP(K284,'Chart of Accounts'!$C:$D,2,0)</f>
        <v>Accrued expenses</v>
      </c>
    </row>
    <row r="285" spans="2:13" outlineLevel="1" x14ac:dyDescent="0.25">
      <c r="B285" s="40">
        <f>+[1]JEs!B284</f>
        <v>45473</v>
      </c>
      <c r="C285" s="40">
        <f t="shared" ref="C285" si="22">EOMONTH(B285,0)</f>
        <v>45473</v>
      </c>
      <c r="D285" s="40">
        <f t="shared" ref="D285" si="23">EOMONTH(B285,CEILING(MONTH(B285),3)-MONTH(B285))</f>
        <v>45473</v>
      </c>
      <c r="E285" s="43" t="str">
        <f>IF([1]JEs!D284=0,"",[1]JEs!D284)</f>
        <v/>
      </c>
      <c r="F285" s="43" t="str">
        <f>IF([1]JEs!E284=0,"",[1]JEs!E284)</f>
        <v>Cash and cash equivalents</v>
      </c>
      <c r="G285" s="43" t="str">
        <f>IF([1]JEs!F284=0,"",[1]JEs!F284)</f>
        <v/>
      </c>
      <c r="H285" s="43">
        <f>IF([1]JEs!G284=0,"",[1]JEs!G284)</f>
        <v>75000</v>
      </c>
      <c r="I285" s="43" t="str">
        <f>IF([1]JEs!H284=0,"",[1]JEs!H284)</f>
        <v>Payment of 2Q 2024 management fees</v>
      </c>
      <c r="J285" s="43"/>
      <c r="K285" s="10" t="str">
        <f t="shared" si="20"/>
        <v>Cash and cash equivalents</v>
      </c>
      <c r="L285" s="96">
        <f t="shared" si="21"/>
        <v>-75000</v>
      </c>
      <c r="M285" s="188" t="str">
        <f>VLOOKUP(K285,'Chart of Accounts'!$C:$D,2,0)</f>
        <v>Cash and equivalents</v>
      </c>
    </row>
    <row r="286" spans="2:13" outlineLevel="1" x14ac:dyDescent="0.25">
      <c r="B286" s="40">
        <f>+[1]JEs!B285</f>
        <v>45565</v>
      </c>
      <c r="C286" s="40">
        <f t="shared" ref="C286:C287" si="24">EOMONTH(B286,0)</f>
        <v>45565</v>
      </c>
      <c r="D286" s="40">
        <f t="shared" ref="D286:D287" si="25">EOMONTH(B286,CEILING(MONTH(B286),3)-MONTH(B286))</f>
        <v>45565</v>
      </c>
      <c r="E286" s="43" t="str">
        <f>IF([1]JEs!D285=0,"",[1]JEs!D285)</f>
        <v>Accrued management fee</v>
      </c>
      <c r="F286" s="43" t="str">
        <f>IF([1]JEs!E285=0,"",[1]JEs!E285)</f>
        <v/>
      </c>
      <c r="G286" s="43">
        <f>IF([1]JEs!F285=0,"",[1]JEs!F285)</f>
        <v>75000</v>
      </c>
      <c r="H286" s="43" t="str">
        <f>IF([1]JEs!G285=0,"",[1]JEs!G285)</f>
        <v/>
      </c>
      <c r="I286" s="43" t="str">
        <f>IF([1]JEs!H285=0,"",[1]JEs!H285)</f>
        <v>3Q 2024 management fees</v>
      </c>
      <c r="J286" s="43"/>
      <c r="K286" s="10" t="str">
        <f t="shared" ref="K286:K287" si="26">TRIM(E286&amp;F286)</f>
        <v>Accrued management fee</v>
      </c>
      <c r="L286" s="96">
        <f t="shared" ref="L286:L287" si="27">IF(G286="",-H286,G286)</f>
        <v>75000</v>
      </c>
      <c r="M286" s="10" t="str">
        <f>VLOOKUP(K286,'Chart of Accounts'!$C:$D,2,0)</f>
        <v>Accrued expenses</v>
      </c>
    </row>
    <row r="287" spans="2:13" x14ac:dyDescent="0.25">
      <c r="B287" s="40">
        <f>+[1]JEs!B286</f>
        <v>45565</v>
      </c>
      <c r="C287" s="40">
        <f t="shared" si="24"/>
        <v>45565</v>
      </c>
      <c r="D287" s="40">
        <f t="shared" si="25"/>
        <v>45565</v>
      </c>
      <c r="E287" s="43" t="str">
        <f>IF([1]JEs!D286=0,"",[1]JEs!D286)</f>
        <v/>
      </c>
      <c r="F287" s="43" t="str">
        <f>IF([1]JEs!E286=0,"",[1]JEs!E286)</f>
        <v>Cash and cash equivalents</v>
      </c>
      <c r="G287" s="43" t="str">
        <f>IF([1]JEs!F286=0,"",[1]JEs!F286)</f>
        <v/>
      </c>
      <c r="H287" s="43">
        <f>IF([1]JEs!G286=0,"",[1]JEs!G286)</f>
        <v>75000</v>
      </c>
      <c r="I287" s="43" t="str">
        <f>IF([1]JEs!H286=0,"",[1]JEs!H286)</f>
        <v>Payment of 3Q 2024 management fees</v>
      </c>
      <c r="J287" s="43"/>
      <c r="K287" s="10" t="str">
        <f t="shared" si="26"/>
        <v>Cash and cash equivalents</v>
      </c>
      <c r="L287" s="96">
        <f t="shared" si="27"/>
        <v>-75000</v>
      </c>
      <c r="M287" s="188" t="str">
        <f>VLOOKUP(K287,'Chart of Accounts'!$C:$D,2,0)</f>
        <v>Cash and equivalents</v>
      </c>
    </row>
    <row r="288" spans="2:13" x14ac:dyDescent="0.25">
      <c r="B288" s="40">
        <f>+[1]JEs!B287</f>
        <v>45657</v>
      </c>
      <c r="C288" s="40">
        <f t="shared" ref="C288:C289" si="28">EOMONTH(B288,0)</f>
        <v>45657</v>
      </c>
      <c r="D288" s="40">
        <f t="shared" ref="D288:D289" si="29">EOMONTH(B288,CEILING(MONTH(B288),3)-MONTH(B288))</f>
        <v>45657</v>
      </c>
      <c r="E288" s="43" t="str">
        <f>IF([1]JEs!D287=0,"",[1]JEs!D287)</f>
        <v>Accrued management fee</v>
      </c>
      <c r="F288" s="43" t="str">
        <f>IF([1]JEs!E287=0,"",[1]JEs!E287)</f>
        <v/>
      </c>
      <c r="G288" s="43">
        <f>IF([1]JEs!F287=0,"",[1]JEs!F287)</f>
        <v>75000</v>
      </c>
      <c r="H288" s="43" t="str">
        <f>IF([1]JEs!G287=0,"",[1]JEs!G287)</f>
        <v/>
      </c>
      <c r="I288" s="43" t="str">
        <f>IF([1]JEs!H287=0,"",[1]JEs!H287)</f>
        <v>4Q 2024 management fees</v>
      </c>
      <c r="J288" s="43"/>
      <c r="K288" s="10" t="str">
        <f t="shared" ref="K288:K291" si="30">TRIM(E288&amp;F288)</f>
        <v>Accrued management fee</v>
      </c>
      <c r="L288" s="96">
        <f t="shared" ref="L288:L291" si="31">IF(G288="",-H288,G288)</f>
        <v>75000</v>
      </c>
      <c r="M288" s="10" t="str">
        <f>VLOOKUP(K288,'Chart of Accounts'!$C:$D,2,0)</f>
        <v>Accrued expenses</v>
      </c>
    </row>
    <row r="289" spans="2:13" x14ac:dyDescent="0.25">
      <c r="B289" s="40">
        <f>+[1]JEs!B288</f>
        <v>45657</v>
      </c>
      <c r="C289" s="40">
        <f t="shared" si="28"/>
        <v>45657</v>
      </c>
      <c r="D289" s="40">
        <f t="shared" si="29"/>
        <v>45657</v>
      </c>
      <c r="E289" s="43" t="str">
        <f>IF([1]JEs!D288=0,"",[1]JEs!D288)</f>
        <v/>
      </c>
      <c r="F289" s="43" t="str">
        <f>IF([1]JEs!E288=0,"",[1]JEs!E288)</f>
        <v>Cash and cash equivalents</v>
      </c>
      <c r="G289" s="43" t="str">
        <f>IF([1]JEs!F288=0,"",[1]JEs!F288)</f>
        <v/>
      </c>
      <c r="H289" s="43">
        <f>IF([1]JEs!G288=0,"",[1]JEs!G288)</f>
        <v>75000</v>
      </c>
      <c r="I289" s="43" t="str">
        <f>IF([1]JEs!H288=0,"",[1]JEs!H288)</f>
        <v>Payment of 4Q 2024 management fees</v>
      </c>
      <c r="J289" s="43"/>
      <c r="K289" s="10" t="str">
        <f t="shared" si="30"/>
        <v>Cash and cash equivalents</v>
      </c>
      <c r="L289" s="96">
        <f t="shared" si="31"/>
        <v>-75000</v>
      </c>
      <c r="M289" s="188" t="str">
        <f>VLOOKUP(K289,'Chart of Accounts'!$C:$D,2,0)</f>
        <v>Cash and equivalents</v>
      </c>
    </row>
    <row r="290" spans="2:13" x14ac:dyDescent="0.25">
      <c r="B290" s="40">
        <f>+[1]JEs!B289</f>
        <v>45657</v>
      </c>
      <c r="C290" s="40"/>
      <c r="D290" s="40"/>
      <c r="E290" s="43" t="str">
        <f>IF([1]JEs!D289=0,"",[1]JEs!D289)</f>
        <v>Performance fee expense</v>
      </c>
      <c r="F290" s="43" t="str">
        <f>IF([1]JEs!E289=0,"",[1]JEs!E289)</f>
        <v/>
      </c>
      <c r="G290" s="43">
        <f>IF([1]JEs!F289=0,"",[1]JEs!F289)</f>
        <v>838754.03513283492</v>
      </c>
      <c r="H290" s="43" t="str">
        <f>IF([1]JEs!G289=0,"",[1]JEs!G289)</f>
        <v/>
      </c>
      <c r="I290" s="43" t="str">
        <f>IF([1]JEs!H289=0,"",[1]JEs!H289)</f>
        <v>Annual performance fee expense</v>
      </c>
      <c r="J290" s="43"/>
      <c r="K290" s="10" t="str">
        <f t="shared" si="30"/>
        <v>Performance fee expense</v>
      </c>
      <c r="L290" s="96">
        <f t="shared" si="31"/>
        <v>838754.03513283492</v>
      </c>
      <c r="M290" s="10" t="str">
        <f>VLOOKUP(K290,'Chart of Accounts'!$C:$D,2,0)</f>
        <v>Performance Fee</v>
      </c>
    </row>
    <row r="291" spans="2:13" x14ac:dyDescent="0.25">
      <c r="B291" s="40">
        <f>+[1]JEs!B290</f>
        <v>45657</v>
      </c>
      <c r="C291" s="40"/>
      <c r="D291" s="40"/>
      <c r="E291" s="43" t="str">
        <f>IF([1]JEs!D290=0,"",[1]JEs!D290)</f>
        <v/>
      </c>
      <c r="F291" s="43" t="str">
        <f>IF([1]JEs!E290=0,"",[1]JEs!E290)</f>
        <v>Performance fee payable</v>
      </c>
      <c r="G291" s="43" t="str">
        <f>IF([1]JEs!F290=0,"",[1]JEs!F290)</f>
        <v/>
      </c>
      <c r="H291" s="43">
        <f>IF([1]JEs!G290=0,"",[1]JEs!G290)</f>
        <v>838754.03513283492</v>
      </c>
      <c r="I291" s="43" t="str">
        <f>IF([1]JEs!H290=0,"",[1]JEs!H290)</f>
        <v>Annual performance fee payable</v>
      </c>
      <c r="J291" s="43"/>
      <c r="K291" s="10" t="str">
        <f t="shared" si="30"/>
        <v>Performance fee payable</v>
      </c>
      <c r="L291" s="96">
        <f t="shared" si="31"/>
        <v>-838754.03513283492</v>
      </c>
      <c r="M291" s="188" t="str">
        <f>VLOOKUP(K291,'Chart of Accounts'!$C:$D,2,0)</f>
        <v>Performance fee payable</v>
      </c>
    </row>
  </sheetData>
  <autoFilter ref="A4:L291" xr:uid="{79DDAB5B-1AF8-40F5-A70D-898A9E8E41CD}">
    <filterColumn colId="4" showButton="0"/>
  </autoFilter>
  <mergeCells count="1">
    <mergeCell ref="E4:F4"/>
  </mergeCells>
  <conditionalFormatting sqref="K1:K1048576">
    <cfRule type="duplicateValues" dxfId="6" priority="1"/>
  </conditionalFormatting>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9</vt:i4>
      </vt:variant>
    </vt:vector>
  </HeadingPairs>
  <TitlesOfParts>
    <vt:vector size="30" baseType="lpstr">
      <vt:lpstr>TOC</vt:lpstr>
      <vt:lpstr>Dashboard</vt:lpstr>
      <vt:lpstr>Data</vt:lpstr>
      <vt:lpstr>Business Plan</vt:lpstr>
      <vt:lpstr>Budget</vt:lpstr>
      <vt:lpstr>E-Commerce Loan</vt:lpstr>
      <vt:lpstr>Apartment Complex Loan</vt:lpstr>
      <vt:lpstr>FS Cover</vt:lpstr>
      <vt:lpstr>Journal Entries</vt:lpstr>
      <vt:lpstr>Trial Balance</vt:lpstr>
      <vt:lpstr>Balance Sheet</vt:lpstr>
      <vt:lpstr>Income Statement</vt:lpstr>
      <vt:lpstr>Changes in Partners' Capital</vt:lpstr>
      <vt:lpstr>Cash Flow Statement</vt:lpstr>
      <vt:lpstr>Schedule of Investments</vt:lpstr>
      <vt:lpstr>Investor Allocations</vt:lpstr>
      <vt:lpstr>Investor Capital Accounts</vt:lpstr>
      <vt:lpstr>Chart of Accounts</vt:lpstr>
      <vt:lpstr>Bank Reconciliation</vt:lpstr>
      <vt:lpstr>Glossary</vt:lpstr>
      <vt:lpstr>Change Log</vt:lpstr>
      <vt:lpstr>'Balance Sheet'!Print_Area</vt:lpstr>
      <vt:lpstr>'Business Plan'!Print_Area</vt:lpstr>
      <vt:lpstr>'Cash Flow Statement'!Print_Area</vt:lpstr>
      <vt:lpstr>'Changes in Partners'' Capital'!Print_Area</vt:lpstr>
      <vt:lpstr>'FS Cover'!Print_Area</vt:lpstr>
      <vt:lpstr>'Income Statement'!Print_Area</vt:lpstr>
      <vt:lpstr>'Investor Allocations'!Print_Area</vt:lpstr>
      <vt:lpstr>'Investor Capital Accounts'!Print_Area</vt:lpstr>
      <vt:lpstr>'Schedule of Investments'!Print_Area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Bu-biz</dc:creator>
  <cp:lastModifiedBy>Dan Bu-biz</cp:lastModifiedBy>
  <cp:lastPrinted>2024-10-04T14:45:48Z</cp:lastPrinted>
  <dcterms:created xsi:type="dcterms:W3CDTF">2015-06-05T18:17:20Z</dcterms:created>
  <dcterms:modified xsi:type="dcterms:W3CDTF">2025-05-23T21:05:24Z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2024-09-06T02:43:26Z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30574dc2-fe2a-42f4-8b93-39967a3e65fd</vt:lpwstr>
  </property>
  <property fmtid="{D5CDD505-2E9C-101B-9397-08002B2CF9AE}" pid="7" name="MSIP_Label_defa4170-0d19-0005-0004-bc88714345d2_ActionId">
    <vt:lpwstr>10ce9502-4280-4ce9-af88-cbc9eacd5397</vt:lpwstr>
  </property>
  <property fmtid="{D5CDD505-2E9C-101B-9397-08002B2CF9AE}" pid="8" name="MSIP_Label_defa4170-0d19-0005-0004-bc88714345d2_ContentBits">
    <vt:lpwstr>0</vt:lpwstr>
  </property>
</Properties>
</file>